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CBT\Campagne MCO 2021\03 - Garantie de financement\02 - Calibrage initial GF 2021\"/>
    </mc:Choice>
  </mc:AlternateContent>
  <xr:revisionPtr revIDLastSave="0" documentId="13_ncr:1_{3386F740-DCA9-4F9B-B9A8-20306FF5A782}" xr6:coauthVersionLast="36" xr6:coauthVersionMax="36" xr10:uidLastSave="{00000000-0000-0000-0000-000000000000}"/>
  <bookViews>
    <workbookView xWindow="0" yWindow="0" windowWidth="25200" windowHeight="12876" xr2:uid="{00000000-000D-0000-FFFF-FFFF00000000}"/>
  </bookViews>
  <sheets>
    <sheet name="Descriptif " sheetId="40" r:id="rId1"/>
    <sheet name="Taux" sheetId="46" r:id="rId2"/>
    <sheet name="Tableau de notification MCO" sheetId="49" r:id="rId3"/>
    <sheet name="Tableau de notification HAD" sheetId="50" r:id="rId4"/>
    <sheet name="Calcul GF 2021 MCO" sheetId="35" r:id="rId5"/>
    <sheet name="Calcul GF 2021 HAD" sheetId="41" r:id="rId6"/>
    <sheet name="donnees_notification_MCO" sheetId="47" r:id="rId7"/>
    <sheet name="donnees_notification_HAD" sheetId="48" r:id="rId8"/>
    <sheet name="donnees_sources_MCO" sheetId="44" r:id="rId9"/>
    <sheet name="donnees_sources_HAD" sheetId="45" r:id="rId10"/>
  </sheets>
  <definedNames>
    <definedName name="_xlnm._FilterDatabase" localSheetId="7" hidden="1">donnees_notification_HAD!$A$2:$N$423</definedName>
    <definedName name="_xlnm._FilterDatabase" localSheetId="6" hidden="1">donnees_notification_MCO!$A$2:$AZ$3</definedName>
    <definedName name="_xlnm._FilterDatabase" localSheetId="9" hidden="1">donnees_sources_HAD!$A$2:$T$467</definedName>
    <definedName name="_xlnm._FilterDatabase" localSheetId="8" hidden="1">donnees_sources_MCO!$A$2:$DQ$34</definedName>
    <definedName name="Données_brutes_2019_HAD" localSheetId="5">#REF!</definedName>
    <definedName name="Données_brutes_2019_HAD" localSheetId="0">#REF!</definedName>
    <definedName name="Données_brutes_2019_HAD">#REF!</definedName>
    <definedName name="Données_brutes_2019_MCO" localSheetId="5">#REF!</definedName>
    <definedName name="Données_brutes_2019_MCO">#REF!</definedName>
    <definedName name="HAD" localSheetId="5">#REF!</definedName>
    <definedName name="HAD">#REF!</definedName>
    <definedName name="import_HAD" localSheetId="5">#REF!</definedName>
    <definedName name="import_HAD">#REF!</definedName>
    <definedName name="import_MCO" localSheetId="5">#REF!</definedName>
    <definedName name="import_MCO">#REF!</definedName>
    <definedName name="MCO" localSheetId="5">#REF!</definedName>
    <definedName name="MCO">#REF!</definedName>
    <definedName name="MCO_EG_AP" localSheetId="5">#REF!</definedName>
    <definedName name="MCO_EG_AP">#REF!</definedName>
  </definedNames>
  <calcPr calcId="191029"/>
</workbook>
</file>

<file path=xl/calcChain.xml><?xml version="1.0" encoding="utf-8"?>
<calcChain xmlns="http://schemas.openxmlformats.org/spreadsheetml/2006/main">
  <c r="D23" i="41" l="1"/>
  <c r="E23" i="41" s="1"/>
  <c r="C23" i="41"/>
  <c r="D22" i="41"/>
  <c r="C22" i="41"/>
  <c r="C24" i="41" s="1"/>
  <c r="D20" i="41"/>
  <c r="C20" i="41"/>
  <c r="D19" i="41"/>
  <c r="D21" i="41" s="1"/>
  <c r="D25" i="41" s="1"/>
  <c r="C19" i="41"/>
  <c r="C21" i="41" s="1"/>
  <c r="C25" i="41" s="1"/>
  <c r="G13" i="41"/>
  <c r="F13" i="41"/>
  <c r="C13" i="41"/>
  <c r="G12" i="41"/>
  <c r="F12" i="41"/>
  <c r="C12" i="41"/>
  <c r="G11" i="41"/>
  <c r="F11" i="41"/>
  <c r="C11" i="41"/>
  <c r="C6" i="41"/>
  <c r="D11" i="41" s="1"/>
  <c r="E11" i="41" s="1"/>
  <c r="E3" i="41"/>
  <c r="D3" i="41"/>
  <c r="D59" i="35"/>
  <c r="C59" i="35"/>
  <c r="D58" i="35"/>
  <c r="D60" i="35" s="1"/>
  <c r="C58" i="35"/>
  <c r="C60" i="35" s="1"/>
  <c r="D57" i="35"/>
  <c r="C57" i="35"/>
  <c r="D55" i="35"/>
  <c r="C55" i="35"/>
  <c r="E55" i="35" s="1"/>
  <c r="D54" i="35"/>
  <c r="C54" i="35"/>
  <c r="E54" i="35" s="1"/>
  <c r="D53" i="35"/>
  <c r="D56" i="35" s="1"/>
  <c r="C53" i="35"/>
  <c r="D51" i="35"/>
  <c r="C51" i="35"/>
  <c r="D50" i="35"/>
  <c r="C50" i="35"/>
  <c r="D49" i="35"/>
  <c r="C49" i="35"/>
  <c r="D48" i="35"/>
  <c r="C48" i="35"/>
  <c r="C52" i="35" s="1"/>
  <c r="D47" i="35"/>
  <c r="C47" i="35"/>
  <c r="E41" i="35"/>
  <c r="I40" i="35"/>
  <c r="D40" i="35"/>
  <c r="C40" i="35"/>
  <c r="I39" i="35"/>
  <c r="D39" i="35"/>
  <c r="C39" i="35"/>
  <c r="I38" i="35"/>
  <c r="D38" i="35"/>
  <c r="C38" i="35"/>
  <c r="I37" i="35"/>
  <c r="D37" i="35"/>
  <c r="C37" i="35"/>
  <c r="E30" i="35"/>
  <c r="D30" i="35"/>
  <c r="C30" i="35"/>
  <c r="M28" i="35"/>
  <c r="L28" i="35"/>
  <c r="E28" i="35"/>
  <c r="D28" i="35"/>
  <c r="D29" i="35" s="1"/>
  <c r="C28" i="35"/>
  <c r="M27" i="35"/>
  <c r="M29" i="35" s="1"/>
  <c r="L27" i="35"/>
  <c r="E27" i="35"/>
  <c r="D27" i="35"/>
  <c r="C27" i="35"/>
  <c r="M26" i="35"/>
  <c r="L26" i="35"/>
  <c r="E26" i="35"/>
  <c r="D26" i="35"/>
  <c r="C26" i="35"/>
  <c r="M25" i="35"/>
  <c r="L25" i="35"/>
  <c r="E25" i="35"/>
  <c r="D25" i="35"/>
  <c r="C25" i="35"/>
  <c r="M23" i="35"/>
  <c r="L23" i="35"/>
  <c r="E23" i="35"/>
  <c r="D23" i="35"/>
  <c r="C23" i="35"/>
  <c r="M22" i="35"/>
  <c r="L22" i="35"/>
  <c r="E22" i="35"/>
  <c r="D22" i="35"/>
  <c r="C22" i="35"/>
  <c r="M21" i="35"/>
  <c r="L21" i="35"/>
  <c r="I21" i="35"/>
  <c r="E21" i="35"/>
  <c r="D21" i="35"/>
  <c r="C21" i="35"/>
  <c r="I20" i="35"/>
  <c r="E20" i="35"/>
  <c r="D20" i="35"/>
  <c r="C20" i="35"/>
  <c r="M19" i="35"/>
  <c r="L19" i="35"/>
  <c r="I19" i="35"/>
  <c r="E19" i="35"/>
  <c r="D19" i="35"/>
  <c r="C19" i="35"/>
  <c r="M18" i="35"/>
  <c r="L18" i="35"/>
  <c r="I18" i="35"/>
  <c r="E18" i="35"/>
  <c r="D18" i="35"/>
  <c r="C18" i="35"/>
  <c r="M17" i="35"/>
  <c r="L17" i="35"/>
  <c r="I17" i="35"/>
  <c r="E17" i="35"/>
  <c r="D17" i="35"/>
  <c r="C17" i="35"/>
  <c r="M16" i="35"/>
  <c r="L16" i="35"/>
  <c r="I16" i="35"/>
  <c r="E16" i="35"/>
  <c r="D16" i="35"/>
  <c r="C16" i="35"/>
  <c r="M15" i="35"/>
  <c r="L15" i="35"/>
  <c r="I15" i="35"/>
  <c r="E15" i="35"/>
  <c r="D15" i="35"/>
  <c r="C15" i="35"/>
  <c r="M14" i="35"/>
  <c r="L14" i="35"/>
  <c r="I14" i="35"/>
  <c r="E14" i="35"/>
  <c r="D14" i="35"/>
  <c r="C14" i="35"/>
  <c r="M13" i="35"/>
  <c r="L13" i="35"/>
  <c r="I13" i="35"/>
  <c r="E13" i="35"/>
  <c r="D13" i="35"/>
  <c r="C13" i="35"/>
  <c r="M12" i="35"/>
  <c r="L12" i="35"/>
  <c r="I12" i="35"/>
  <c r="E12" i="35"/>
  <c r="E24" i="35" s="1"/>
  <c r="D12" i="35"/>
  <c r="D24" i="35" s="1"/>
  <c r="C12" i="35"/>
  <c r="C8" i="35"/>
  <c r="C7" i="35"/>
  <c r="J39" i="35" s="1"/>
  <c r="C6" i="35"/>
  <c r="E3" i="35"/>
  <c r="D3" i="35"/>
  <c r="B36" i="50"/>
  <c r="B34" i="50" s="1"/>
  <c r="B35" i="50"/>
  <c r="B33" i="50"/>
  <c r="B32" i="50"/>
  <c r="B31" i="50" s="1"/>
  <c r="C25" i="50"/>
  <c r="B25" i="50"/>
  <c r="C18" i="50"/>
  <c r="B18" i="50"/>
  <c r="B11" i="50" s="1"/>
  <c r="B3" i="50"/>
  <c r="B9" i="50" s="1"/>
  <c r="B76" i="49"/>
  <c r="B74" i="49"/>
  <c r="B72" i="49"/>
  <c r="B69" i="49"/>
  <c r="B67" i="49"/>
  <c r="B65" i="49"/>
  <c r="B62" i="49"/>
  <c r="B60" i="49"/>
  <c r="B58" i="49"/>
  <c r="C51" i="49"/>
  <c r="B51" i="49"/>
  <c r="B49" i="49" s="1"/>
  <c r="C50" i="49"/>
  <c r="B50" i="49"/>
  <c r="C43" i="49"/>
  <c r="B43" i="49"/>
  <c r="C37" i="49"/>
  <c r="B37" i="49"/>
  <c r="C29" i="49"/>
  <c r="B29" i="49"/>
  <c r="C27" i="49"/>
  <c r="B27" i="49"/>
  <c r="B17" i="49"/>
  <c r="B3" i="49"/>
  <c r="B15" i="49" s="1"/>
  <c r="D24" i="41"/>
  <c r="E50" i="35"/>
  <c r="E49" i="35"/>
  <c r="D52" i="35"/>
  <c r="I41" i="35"/>
  <c r="I29" i="35"/>
  <c r="E29" i="35"/>
  <c r="L24" i="35"/>
  <c r="I24" i="35"/>
  <c r="B10" i="50"/>
  <c r="B16" i="49"/>
  <c r="B10" i="49"/>
  <c r="E20" i="41" l="1"/>
  <c r="E22" i="41"/>
  <c r="E24" i="41" s="1"/>
  <c r="N22" i="35"/>
  <c r="D41" i="35"/>
  <c r="F41" i="35" s="1"/>
  <c r="E48" i="35"/>
  <c r="N23" i="35"/>
  <c r="E58" i="35"/>
  <c r="C24" i="35"/>
  <c r="E47" i="35"/>
  <c r="E57" i="35"/>
  <c r="F30" i="35"/>
  <c r="J27" i="35"/>
  <c r="I30" i="35"/>
  <c r="E53" i="35"/>
  <c r="J15" i="35"/>
  <c r="J38" i="35"/>
  <c r="J40" i="35"/>
  <c r="D12" i="41"/>
  <c r="E12" i="41" s="1"/>
  <c r="H12" i="41" s="1"/>
  <c r="I12" i="41" s="1"/>
  <c r="J14" i="35"/>
  <c r="J25" i="35"/>
  <c r="J16" i="35"/>
  <c r="J21" i="35"/>
  <c r="J13" i="35"/>
  <c r="D61" i="35"/>
  <c r="J12" i="35"/>
  <c r="J23" i="35"/>
  <c r="J28" i="35"/>
  <c r="J18" i="35"/>
  <c r="J22" i="35"/>
  <c r="J17" i="35"/>
  <c r="J26" i="35"/>
  <c r="O23" i="35"/>
  <c r="E19" i="41"/>
  <c r="E21" i="41" s="1"/>
  <c r="E25" i="41" s="1"/>
  <c r="J19" i="35"/>
  <c r="J37" i="35"/>
  <c r="C49" i="49"/>
  <c r="B64" i="49"/>
  <c r="B26" i="49"/>
  <c r="B11" i="49" s="1"/>
  <c r="B57" i="49"/>
  <c r="B71" i="49"/>
  <c r="C26" i="49"/>
  <c r="H11" i="41"/>
  <c r="F40" i="35"/>
  <c r="G40" i="35" s="1"/>
  <c r="H40" i="35" s="1"/>
  <c r="F39" i="35"/>
  <c r="G39" i="35" s="1"/>
  <c r="H39" i="35" s="1"/>
  <c r="K39" i="35" s="1"/>
  <c r="F38" i="35"/>
  <c r="G38" i="35" s="1"/>
  <c r="H38" i="35" s="1"/>
  <c r="F37" i="35"/>
  <c r="G37" i="35" s="1"/>
  <c r="E56" i="35"/>
  <c r="F23" i="35"/>
  <c r="G23" i="35" s="1"/>
  <c r="H23" i="35" s="1"/>
  <c r="F21" i="35"/>
  <c r="G21" i="35" s="1"/>
  <c r="H21" i="35" s="1"/>
  <c r="F15" i="35"/>
  <c r="G15" i="35" s="1"/>
  <c r="H15" i="35" s="1"/>
  <c r="F13" i="35"/>
  <c r="F28" i="35"/>
  <c r="G28" i="35" s="1"/>
  <c r="H28" i="35" s="1"/>
  <c r="K28" i="35" s="1"/>
  <c r="N28" i="35" s="1"/>
  <c r="O28" i="35" s="1"/>
  <c r="F26" i="35"/>
  <c r="G26" i="35" s="1"/>
  <c r="H26" i="35" s="1"/>
  <c r="F27" i="35"/>
  <c r="G27" i="35" s="1"/>
  <c r="F25" i="35"/>
  <c r="G25" i="35" s="1"/>
  <c r="H25" i="35" s="1"/>
  <c r="K25" i="35" s="1"/>
  <c r="N25" i="35" s="1"/>
  <c r="O25" i="35" s="1"/>
  <c r="F18" i="35"/>
  <c r="G18" i="35" s="1"/>
  <c r="H18" i="35" s="1"/>
  <c r="K18" i="35" s="1"/>
  <c r="N18" i="35" s="1"/>
  <c r="O18" i="35" s="1"/>
  <c r="F10" i="35"/>
  <c r="F22" i="35"/>
  <c r="G22" i="35" s="1"/>
  <c r="H22" i="35" s="1"/>
  <c r="F16" i="35"/>
  <c r="G16" i="35" s="1"/>
  <c r="H16" i="35" s="1"/>
  <c r="K16" i="35" s="1"/>
  <c r="N16" i="35" s="1"/>
  <c r="O16" i="35" s="1"/>
  <c r="F12" i="35"/>
  <c r="G30" i="35"/>
  <c r="H30" i="35" s="1"/>
  <c r="F19" i="35"/>
  <c r="G19" i="35" s="1"/>
  <c r="H19" i="35" s="1"/>
  <c r="F14" i="35"/>
  <c r="G14" i="35" s="1"/>
  <c r="H14" i="35" s="1"/>
  <c r="F17" i="35"/>
  <c r="G17" i="35" s="1"/>
  <c r="H17" i="35" s="1"/>
  <c r="F20" i="35"/>
  <c r="G20" i="35" s="1"/>
  <c r="H20" i="35" s="1"/>
  <c r="G13" i="35"/>
  <c r="H13" i="35" s="1"/>
  <c r="E51" i="35"/>
  <c r="E59" i="35"/>
  <c r="O22" i="35"/>
  <c r="C29" i="35"/>
  <c r="L29" i="35"/>
  <c r="L30" i="35" s="1"/>
  <c r="C41" i="35"/>
  <c r="M24" i="35"/>
  <c r="M30" i="35" s="1"/>
  <c r="C56" i="35"/>
  <c r="C61" i="35" s="1"/>
  <c r="B9" i="49"/>
  <c r="E13" i="41" l="1"/>
  <c r="H13" i="41"/>
  <c r="K19" i="35"/>
  <c r="N19" i="35" s="1"/>
  <c r="O19" i="35" s="1"/>
  <c r="K38" i="35"/>
  <c r="E60" i="35"/>
  <c r="E61" i="35" s="1"/>
  <c r="E52" i="35"/>
  <c r="K26" i="35"/>
  <c r="N26" i="35" s="1"/>
  <c r="O26" i="35" s="1"/>
  <c r="K40" i="35"/>
  <c r="K13" i="35"/>
  <c r="N13" i="35" s="1"/>
  <c r="O13" i="35" s="1"/>
  <c r="K15" i="35"/>
  <c r="N15" i="35" s="1"/>
  <c r="O15" i="35" s="1"/>
  <c r="I11" i="41"/>
  <c r="I13" i="41" s="1"/>
  <c r="F24" i="35"/>
  <c r="G12" i="35"/>
  <c r="K21" i="35"/>
  <c r="N21" i="35" s="1"/>
  <c r="O21" i="35" s="1"/>
  <c r="K17" i="35"/>
  <c r="N17" i="35" s="1"/>
  <c r="O17" i="35" s="1"/>
  <c r="K14" i="35"/>
  <c r="N14" i="35" s="1"/>
  <c r="O14" i="35" s="1"/>
  <c r="G29" i="35"/>
  <c r="H27" i="35"/>
  <c r="F29" i="35"/>
  <c r="G41" i="35"/>
  <c r="H37" i="35"/>
  <c r="K27" i="35" l="1"/>
  <c r="H29" i="35"/>
  <c r="H12" i="35"/>
  <c r="G24" i="35"/>
  <c r="K37" i="35"/>
  <c r="K41" i="35" s="1"/>
  <c r="H41" i="35"/>
  <c r="K12" i="35" l="1"/>
  <c r="H24" i="35"/>
  <c r="K29" i="35"/>
  <c r="N27" i="35"/>
  <c r="N29" i="35" l="1"/>
  <c r="O27" i="35"/>
  <c r="O29" i="35" s="1"/>
  <c r="K24" i="35"/>
  <c r="K30" i="35" s="1"/>
  <c r="N12" i="35"/>
  <c r="O12" i="35" l="1"/>
  <c r="O24" i="35" s="1"/>
  <c r="O30" i="35" s="1"/>
  <c r="N24" i="35"/>
  <c r="N30" i="35" s="1"/>
</calcChain>
</file>

<file path=xl/sharedStrings.xml><?xml version="1.0" encoding="utf-8"?>
<sst xmlns="http://schemas.openxmlformats.org/spreadsheetml/2006/main" count="490" uniqueCount="206">
  <si>
    <t>Forfait GHS + supplément</t>
  </si>
  <si>
    <t>PO</t>
  </si>
  <si>
    <t>IVG</t>
  </si>
  <si>
    <t>Transports</t>
  </si>
  <si>
    <t>Alt dialyse</t>
  </si>
  <si>
    <t>ATU</t>
  </si>
  <si>
    <t>FFM</t>
  </si>
  <si>
    <t>SE</t>
  </si>
  <si>
    <t>PI</t>
  </si>
  <si>
    <t>Catégorie</t>
  </si>
  <si>
    <t>champ MCO</t>
  </si>
  <si>
    <t>choix du finess</t>
  </si>
  <si>
    <t>ACE (hors FIDES)</t>
  </si>
  <si>
    <t>Forfait GHS + supplément AME</t>
  </si>
  <si>
    <t>Forfait GHS + supplément soins urgents</t>
  </si>
  <si>
    <t>RAC Séjours détenus</t>
  </si>
  <si>
    <t>RAC ACE détenus</t>
  </si>
  <si>
    <t>FIDES</t>
  </si>
  <si>
    <t>champ HAD</t>
  </si>
  <si>
    <t>Forfait GHT</t>
  </si>
  <si>
    <t>Forfait GHT AME</t>
  </si>
  <si>
    <t>Montant dû mars-décembre 2020 = valorisation ou Gf définitive</t>
  </si>
  <si>
    <t>Information</t>
  </si>
  <si>
    <t>autres prestations</t>
  </si>
  <si>
    <t>Montant total = somme des prestations</t>
  </si>
  <si>
    <t>Sous-total détenus</t>
  </si>
  <si>
    <t>Sous-total hors AME SU Détenus</t>
  </si>
  <si>
    <t>Valorisation mars-décembre 2020</t>
  </si>
  <si>
    <t>GF définitive 2020</t>
  </si>
  <si>
    <t>GF 2021 = somme des montants mensuels M1 à M6 (arrondi à l'€)</t>
  </si>
  <si>
    <t>Région</t>
  </si>
  <si>
    <t>Finess</t>
  </si>
  <si>
    <t>Raison sociale</t>
  </si>
  <si>
    <t>Categorie</t>
  </si>
  <si>
    <t>Total</t>
  </si>
  <si>
    <t>Fides</t>
  </si>
  <si>
    <t>Forfaits GHT</t>
  </si>
  <si>
    <t>Forfaits GHT AME</t>
  </si>
  <si>
    <t>recette avant mars 2020</t>
  </si>
  <si>
    <t>valo après mars 2020</t>
  </si>
  <si>
    <t>sous-exécution 2020</t>
  </si>
  <si>
    <t>Montant provisoire M1 2021</t>
  </si>
  <si>
    <t>EBNL</t>
  </si>
  <si>
    <t>EPS</t>
  </si>
  <si>
    <t>GHS établissements AVEC services urgences</t>
  </si>
  <si>
    <t>GHS établissements SANS services urgences</t>
  </si>
  <si>
    <t>Suppléments</t>
  </si>
  <si>
    <t>dialyse</t>
  </si>
  <si>
    <t>ACE</t>
  </si>
  <si>
    <t>APE</t>
  </si>
  <si>
    <t>DMI ext</t>
  </si>
  <si>
    <t>Med ext</t>
  </si>
  <si>
    <t>HAD</t>
  </si>
  <si>
    <t>SU</t>
  </si>
  <si>
    <t>LES</t>
  </si>
  <si>
    <t>MED</t>
  </si>
  <si>
    <t>DMI</t>
  </si>
  <si>
    <t>MED ATU</t>
  </si>
  <si>
    <t>MED EXT</t>
  </si>
  <si>
    <t>DMI EXT</t>
  </si>
  <si>
    <t>Estimation valorisation mars-décembre 2020</t>
  </si>
  <si>
    <t>Assiette 2021 = 6/10e GF 2020 * (1+ effet prix)</t>
  </si>
  <si>
    <t>Categorie Taux</t>
  </si>
  <si>
    <t>MED AME</t>
  </si>
  <si>
    <t>DMI AME</t>
  </si>
  <si>
    <t>MED ATU AME</t>
  </si>
  <si>
    <t>MED SU</t>
  </si>
  <si>
    <t>DMI SU</t>
  </si>
  <si>
    <t>MED ATU SU</t>
  </si>
  <si>
    <t>Sans coef prudentiel</t>
  </si>
  <si>
    <t>GHS y compris suppléments établissements AVEC services urgences</t>
  </si>
  <si>
    <t>GHS y compris suppléments établissements SANS services urgences</t>
  </si>
  <si>
    <t>MED HAD</t>
  </si>
  <si>
    <t xml:space="preserve">MED ATU HAD </t>
  </si>
  <si>
    <t>MED HAD AME</t>
  </si>
  <si>
    <t>MED ATU HAD AME</t>
  </si>
  <si>
    <t>Fides ghs</t>
  </si>
  <si>
    <t>Fides ivg</t>
  </si>
  <si>
    <t>Fides ace</t>
  </si>
  <si>
    <t>Fides non ace</t>
  </si>
  <si>
    <t>Total Fides</t>
  </si>
  <si>
    <t>Recettes liste en sus 2020</t>
  </si>
  <si>
    <t>Montants d'avances liste en sus 2021 M1-M2</t>
  </si>
  <si>
    <t>MED ATU HAD</t>
  </si>
  <si>
    <t>Nombre mois d'ouverture en 2020</t>
  </si>
  <si>
    <t xml:space="preserve">DMI EXT </t>
  </si>
  <si>
    <t>GF 2021</t>
  </si>
  <si>
    <t>Montants mensuels d'avances liste en sus à partir de M3 2021</t>
  </si>
  <si>
    <t>Montant mensuel GF 2021 à partir de M3</t>
  </si>
  <si>
    <t>Total hors AME</t>
  </si>
  <si>
    <t>Total AME</t>
  </si>
  <si>
    <t xml:space="preserve">Hors FIDES
</t>
  </si>
  <si>
    <t>CH</t>
  </si>
  <si>
    <t>Valorisation liste en sus 2020</t>
  </si>
  <si>
    <t>Total part ONDAM</t>
  </si>
  <si>
    <t xml:space="preserve">Prestations soumises à la garantie de financement - hors FIDES
</t>
  </si>
  <si>
    <t xml:space="preserve">Prestations soumises à la garantie de financement - FIDES
</t>
  </si>
  <si>
    <t>Prestations non soumises à la garantie de financement - avances liste en sus</t>
  </si>
  <si>
    <t xml:space="preserve">Prestations soumises à la garantie de financement
</t>
  </si>
  <si>
    <t>Eléments de l'arrêté de versement
Garantie de financement 2020</t>
  </si>
  <si>
    <t>Finess à sélectionner</t>
  </si>
  <si>
    <t>Pour l’établissement </t>
  </si>
  <si>
    <t>N° Finess</t>
  </si>
  <si>
    <t>Libellé</t>
  </si>
  <si>
    <t>Montant MCO de la garantie de financement de l’établissement au titre des activités facturées dans les conditions définies aux articles R. 174-2-1 et suivants du code de la sécurité sociale (FIDES) est de :</t>
  </si>
  <si>
    <t>Montant MCO de la garantie de financement de l’établissement au titre de la valorisation de l’activité Soins urgents (SU) est de :</t>
  </si>
  <si>
    <t>Dont séjours</t>
  </si>
  <si>
    <t>Dont ACE y compris ATU/FFM, SE, etc.</t>
  </si>
  <si>
    <t>Montant avance mensuelle dû à l’établissement au titre de la liste en sus pour les soins MCO hors AME/SU est de :</t>
  </si>
  <si>
    <t xml:space="preserve"> Dont des spécialités pharmaceutiques (Médicaments) (séjours)</t>
  </si>
  <si>
    <t>Montant avance mensuelle dû à l’établissement au titre de la liste en sus pour les prestations relevant de l’aide médicale d’Etat (AME) est de :</t>
  </si>
  <si>
    <t>Montant avance mensuelle dû à l’établissement au titre de la liste en sus pour les prestations relevant des soins urgents (SU) est de :</t>
  </si>
  <si>
    <t xml:space="preserve">Le montant global de la garantie de financement MCO (hors HAD) au titre des prestations de soins de la période de janvier à juin 2021 est de : </t>
  </si>
  <si>
    <t xml:space="preserve">Montant total de la garantie de financement pour la période de janvier à juin :  </t>
  </si>
  <si>
    <t>A titre informatif le montant provisoire MCO de la garantie de financement de l’établissement au titre des activités facturées dans les conditions définies aux articles R. 174-2-1 et suivants du code de la sécurité sociale (FIDES) est de :</t>
  </si>
  <si>
    <t>Ce montant provisoire FIDES ne donne lieu à aucun versement mensuel pour la période de janvier à juin 2021.</t>
  </si>
  <si>
    <t>Article 2 -</t>
  </si>
  <si>
    <r>
      <t xml:space="preserve">Pour les activités non facturées </t>
    </r>
    <r>
      <rPr>
        <sz val="9.5"/>
        <color rgb="FF2F2F2F"/>
        <rFont val="Arial"/>
        <family val="2"/>
      </rPr>
      <t>dans les conditions définies aux articles R. 174-2-1 et suivants du code de la sécurité sociale,</t>
    </r>
    <r>
      <rPr>
        <b/>
        <sz val="9.5"/>
        <color theme="1"/>
        <rFont val="Arial"/>
        <family val="2"/>
      </rPr>
      <t xml:space="preserve"> les montants de la garantie de financement MCO hors AME, SU et soins aux détenus ainsi que les montants à verser à partir de M3 à l’établissement </t>
    </r>
    <r>
      <rPr>
        <sz val="9.5"/>
        <color theme="1"/>
        <rFont val="Arial"/>
        <family val="2"/>
      </rPr>
      <t>par la caisse désignée en application des dispositions de l’article L.174-2 du code de la sécurité sociale</t>
    </r>
    <r>
      <rPr>
        <b/>
        <sz val="9.5"/>
        <color theme="1"/>
        <rFont val="Arial"/>
        <family val="2"/>
      </rPr>
      <t xml:space="preserve"> se décomposent selon le: </t>
    </r>
  </si>
  <si>
    <t xml:space="preserve">Montant de la garantie de financement </t>
  </si>
  <si>
    <r>
      <t xml:space="preserve">Montant à verser </t>
    </r>
    <r>
      <rPr>
        <b/>
        <vertAlign val="superscript"/>
        <sz val="9.5"/>
        <color theme="1"/>
        <rFont val="Arial"/>
        <family val="2"/>
      </rPr>
      <t>1</t>
    </r>
  </si>
  <si>
    <t xml:space="preserve">Montant des activités MCO non facturées dans les conditions définies aux articles R. 174-2-1 et suivants du code de la sécurité sociale au titre de la valorisation de l’activité hors aide médicale de l’Etat (AME), soins urgents (SU) et soins aux détenus </t>
  </si>
  <si>
    <r>
      <t>Dont montent des forfaits "groupes homogènes de séjou</t>
    </r>
    <r>
      <rPr>
        <sz val="9"/>
        <color rgb="FF545654"/>
        <rFont val="Arial"/>
        <family val="2"/>
      </rPr>
      <t>r</t>
    </r>
    <r>
      <rPr>
        <sz val="9"/>
        <color rgb="FF2F2F2F"/>
        <rFont val="Arial"/>
        <family val="2"/>
      </rPr>
      <t xml:space="preserve">s" </t>
    </r>
    <r>
      <rPr>
        <sz val="9"/>
        <color rgb="FF444444"/>
        <rFont val="Arial"/>
        <family val="2"/>
      </rPr>
      <t xml:space="preserve">(GHS) </t>
    </r>
    <r>
      <rPr>
        <sz val="9"/>
        <color rgb="FF2F2F2F"/>
        <rFont val="Arial"/>
        <family val="2"/>
      </rPr>
      <t>et leurs éventuels suppléments (y compris transports et PO)</t>
    </r>
  </si>
  <si>
    <r>
      <t xml:space="preserve">1 </t>
    </r>
    <r>
      <rPr>
        <b/>
        <sz val="9.5"/>
        <color theme="1"/>
        <rFont val="Arial"/>
        <family val="2"/>
      </rPr>
      <t>Le montant à verser intègre la régularisation des montants provisoires versés au titre de M1 et M2.</t>
    </r>
  </si>
  <si>
    <t>Article 3 – Le montant de la garantie financement au titre des prestations de soins de la période de janvier à juin 2021 ainsi le montant à verser à l’établissement à partir de M3 relevant de</t>
  </si>
  <si>
    <t>l’Aide médicale de l’Etat (AME) sont de :</t>
  </si>
  <si>
    <t>Montant de la garantie de financement</t>
  </si>
  <si>
    <r>
      <t xml:space="preserve">Montant  à verser </t>
    </r>
    <r>
      <rPr>
        <b/>
        <vertAlign val="superscript"/>
        <sz val="9.5"/>
        <color theme="1"/>
        <rFont val="Arial"/>
        <family val="2"/>
      </rPr>
      <t>1</t>
    </r>
  </si>
  <si>
    <t>Montant MCO de la garantie de financement de l’établissement au titre de la valorisation de l’activité aide médicale de l’Etat (AME) est de :</t>
  </si>
  <si>
    <r>
      <t xml:space="preserve">1 </t>
    </r>
    <r>
      <rPr>
        <sz val="9.5"/>
        <color theme="1"/>
        <rFont val="Arial"/>
        <family val="2"/>
      </rPr>
      <t>Le montant à verser intègre la régularisation des montants provisoires versés au titre de M1 et M2.</t>
    </r>
  </si>
  <si>
    <t>Article 4 – Le montant de la garantie financement au titre des prestations de soins de la période de janvier à juin 2021 et le montant  à verser à l’établissement à partir de M3, relevant des Soins Urgents  est de :</t>
  </si>
  <si>
    <r>
      <t>Montant à verser</t>
    </r>
    <r>
      <rPr>
        <b/>
        <vertAlign val="superscript"/>
        <sz val="9.5"/>
        <color theme="1"/>
        <rFont val="Arial"/>
        <family val="2"/>
      </rPr>
      <t>1</t>
    </r>
    <r>
      <rPr>
        <b/>
        <sz val="9.5"/>
        <color theme="1"/>
        <rFont val="Arial"/>
        <family val="2"/>
      </rPr>
      <t xml:space="preserve"> </t>
    </r>
  </si>
  <si>
    <t>Article 5 – Le montant de la garantie financement au titre du RAC détenus pour les prestations de soins de la période de janvier à juin 2021 et le montant dû à l’établissement à partir de M3, sont de :</t>
  </si>
  <si>
    <r>
      <t>Montant à verser</t>
    </r>
    <r>
      <rPr>
        <b/>
        <vertAlign val="superscript"/>
        <sz val="9.5"/>
        <color theme="1"/>
        <rFont val="Arial"/>
        <family val="2"/>
      </rPr>
      <t>1</t>
    </r>
  </si>
  <si>
    <t>Montant MCO de la garantie de financement de l’établissement au titre de la valorisation du RAC détenus est de :</t>
  </si>
  <si>
    <t xml:space="preserve"> Dont des spécialités pharmaceutiques (Médicaments) (séjours et externe)</t>
  </si>
  <si>
    <r>
      <t xml:space="preserve">Dont des spécialités pharmaceutiques </t>
    </r>
    <r>
      <rPr>
        <sz val="9.5"/>
        <color rgb="FF444444"/>
        <rFont val="Arial"/>
        <family val="2"/>
      </rPr>
      <t xml:space="preserve">(Médicaments) </t>
    </r>
    <r>
      <rPr>
        <sz val="9.5"/>
        <color rgb="FF2F2F2F"/>
        <rFont val="Arial"/>
        <family val="2"/>
      </rPr>
      <t xml:space="preserve">sous autorisation temporaire d'utilisation </t>
    </r>
    <r>
      <rPr>
        <sz val="9.5"/>
        <color rgb="FF444444"/>
        <rFont val="Arial"/>
        <family val="2"/>
      </rPr>
      <t>(ATU) et post ATU</t>
    </r>
  </si>
  <si>
    <r>
      <t>Dont des produits et prestations (Dispositifs médicaux implantables)</t>
    </r>
    <r>
      <rPr>
        <sz val="9"/>
        <color rgb="FF2F2F2F"/>
        <rFont val="Arial"/>
        <family val="2"/>
      </rPr>
      <t xml:space="preserve"> (séjours et externe)</t>
    </r>
  </si>
  <si>
    <r>
      <t>Dont des produits et prestations (Dispositifs médicaux implantables)</t>
    </r>
    <r>
      <rPr>
        <sz val="9"/>
        <color rgb="FF2F2F2F"/>
        <rFont val="Arial"/>
        <family val="2"/>
      </rPr>
      <t xml:space="preserve"> (séjours)</t>
    </r>
  </si>
  <si>
    <t>Article 6 : Le montant des avances de financement allouées aux établissements de santé pour faire face à l’épidémie du Covid-19 au titre de la liste en sus dû à l’établissement à partir de M3 est de :</t>
  </si>
  <si>
    <t xml:space="preserve">Le montant global de la garantie de financement HAD au titre des prestations de soins de la période de janvier à juin 2021 est de : </t>
  </si>
  <si>
    <r>
      <t xml:space="preserve">Pour les activités non facturées </t>
    </r>
    <r>
      <rPr>
        <sz val="9.5"/>
        <color rgb="FF2F2F2F"/>
        <rFont val="Arial"/>
        <family val="2"/>
      </rPr>
      <t>dans les conditions définies aux articles R. 174-2-1 et suivants du code de la sécurité sociale,</t>
    </r>
    <r>
      <rPr>
        <b/>
        <sz val="9.5"/>
        <color theme="1"/>
        <rFont val="Arial"/>
        <family val="2"/>
      </rPr>
      <t xml:space="preserve"> les montants de la garantie de financement HAD hors AME ainsi que les montants à verser à partir de M3 à l’établissement </t>
    </r>
    <r>
      <rPr>
        <sz val="9.5"/>
        <color theme="1"/>
        <rFont val="Arial"/>
        <family val="2"/>
      </rPr>
      <t>par la caisse désignée en application des dispositions de l’article L.174-2 du code de la sécurité sociale</t>
    </r>
    <r>
      <rPr>
        <b/>
        <sz val="9.5"/>
        <color theme="1"/>
        <rFont val="Arial"/>
        <family val="2"/>
      </rPr>
      <t xml:space="preserve"> se décomposent de la manière suivante : </t>
    </r>
  </si>
  <si>
    <t>Article 4 : Le montant des avances de financement allouées aux établissements de santé pour faire face à l’épidémie du Covid-19 au titre de la liste en sus dû à l’établissement à partir de M3 est de :</t>
  </si>
  <si>
    <t>Montant avance mensuelle dû à l’établissement au titre de la liste en sus pour les prestations hors AME est de :</t>
  </si>
  <si>
    <t>Montant avance mensuelle dû à l’établissement au titre de la liste en sus pour les prestations AME est de :</t>
  </si>
  <si>
    <t>Nombre de mois d'ouverture 2020</t>
  </si>
  <si>
    <t>Avances mensuelles M1-M2</t>
  </si>
  <si>
    <t>Montants GF M2 2021 
(arrondi à l'€)</t>
  </si>
  <si>
    <t>Montants GF M1 2021 
(arrondi à l'€)</t>
  </si>
  <si>
    <t>Total part AME</t>
  </si>
  <si>
    <t>Total part SU</t>
  </si>
  <si>
    <t xml:space="preserve">Onglet </t>
  </si>
  <si>
    <t>Descriptif</t>
  </si>
  <si>
    <t>Taux</t>
  </si>
  <si>
    <t>Tableau de notification MCO</t>
  </si>
  <si>
    <t>Tableau de notification HAD</t>
  </si>
  <si>
    <t xml:space="preserve">Calcul GF 2021 MCO </t>
  </si>
  <si>
    <t xml:space="preserve">Calcul GF 2021 HAD </t>
  </si>
  <si>
    <t>donnees_notification_MCO</t>
  </si>
  <si>
    <t>donnees_notification_HAD</t>
  </si>
  <si>
    <t>donnees_sources_MCO</t>
  </si>
  <si>
    <t>donnees_sources_HAD</t>
  </si>
  <si>
    <t>Taux d'évolution des tarifs entre 2020 et 2021. Ces taux sont appliqués aux recettes 2020 des établissements pour calculer la garantie de financement 2021.</t>
  </si>
  <si>
    <t>Onglet détaillant le calcul des garanties de financement 2021 Fides et hors Fides sur le champ MCO.  Cet onglet est alimenté par l'onglet donnees_sources_MCO.</t>
  </si>
  <si>
    <t>Onglet détaillant le calcul de la garantie de financement 2021 sur le champ HAD.  Cet onglet est alimenté par l'onglet donnees_sources_HAD.</t>
  </si>
  <si>
    <t>Données de garantie de financement 2021, donne les informations suivantes: montant de Garantie de financement 2021, montant mensuel de garantie à partir de M3, avances mensuelles de LES à partir M3.</t>
  </si>
  <si>
    <t>Données permettant le calcul de la garantie de financement 2021 sur le champ MCO, donne les informations suivantes: recette avant mars, valorisation après mars, garantie 2020, sous-écution, montant provisoire de garantie M1-M2 2020, valorisation LES 2020, avances LES M1-M2 2020, indicateur de cas particulier</t>
  </si>
  <si>
    <t>Données permettant le calcul de la garantie de financement 2021 sur le champ HAD, donne les informations suivantes: garantie 2020, montant provisoire de garantie M1-M2 2020, valorisation LES 2020, avances LES M1-M2 2020, indicateur de cas particulier</t>
  </si>
  <si>
    <t>Recettes janvier-décembre 2020</t>
  </si>
  <si>
    <t>Recettes janvier-février 2020</t>
  </si>
  <si>
    <t>Valorisation janvier-décembre 2020</t>
  </si>
  <si>
    <t>Estimation valorisation janvier-février 2020</t>
  </si>
  <si>
    <t>Garantie de financement 2021</t>
  </si>
  <si>
    <t>Activités MCO et HAD – secteur ex-DG</t>
  </si>
  <si>
    <t>Arrêté détaillant les montants à notifier, pour un établissement, pour le champ MCO. Cet onglet est alimenté par l'onglet donnees_notification_MCO.</t>
  </si>
  <si>
    <t>Arrêté détaillant les montants à notifier, pour un établissement, pour le champ HAD. Cet onglet est alimenté par l'onglet donnees_notification_HAD.</t>
  </si>
  <si>
    <r>
      <t>Article 1</t>
    </r>
    <r>
      <rPr>
        <b/>
        <vertAlign val="superscript"/>
        <sz val="9.5"/>
        <color theme="1"/>
        <rFont val="Arial"/>
        <family val="2"/>
      </rPr>
      <t>er</t>
    </r>
    <r>
      <rPr>
        <b/>
        <sz val="9.5"/>
        <color theme="1"/>
        <rFont val="Arial"/>
        <family val="2"/>
      </rPr>
      <t xml:space="preserve"> – Garantie de financement MCO (hors HAD)</t>
    </r>
  </si>
  <si>
    <r>
      <t>Article 1</t>
    </r>
    <r>
      <rPr>
        <b/>
        <vertAlign val="superscript"/>
        <sz val="9.5"/>
        <color theme="1"/>
        <rFont val="Arial"/>
        <family val="2"/>
      </rPr>
      <t>er</t>
    </r>
    <r>
      <rPr>
        <b/>
        <sz val="9.5"/>
        <color theme="1"/>
        <rFont val="Arial"/>
        <family val="2"/>
      </rPr>
      <t xml:space="preserve"> – Garantie de financement HAD </t>
    </r>
  </si>
  <si>
    <t>ATU FFM SE FPI</t>
  </si>
  <si>
    <t>CALCUL GF 2021, Cas Général (ne s'applique pas aux cas particuliers)</t>
  </si>
  <si>
    <t>region</t>
  </si>
  <si>
    <t>test_mco</t>
  </si>
  <si>
    <t>raison sociale</t>
  </si>
  <si>
    <t>test_had</t>
  </si>
  <si>
    <t>Effet prix sur les 6 premiers mois 2021 par prestation pour le secteur ex-DG (2 mois d'effet prix 2020 et 4 mois d'effet prix 2021 y compris Ségur).</t>
  </si>
  <si>
    <r>
      <t xml:space="preserve">Dont montant Forfaits D (alternative à dialyse en centre), IVG, ATU/FFM, SE,  des  actes  et  consultations  externes (ACE) </t>
    </r>
    <r>
      <rPr>
        <sz val="9.5"/>
        <color rgb="FF444444"/>
        <rFont val="Arial"/>
        <family val="2"/>
      </rPr>
      <t xml:space="preserve">y  </t>
    </r>
    <r>
      <rPr>
        <sz val="9.5"/>
        <color rgb="FF2F2F2F"/>
        <rFont val="Arial"/>
        <family val="2"/>
      </rPr>
      <t>compris  forfaits techniques non facturés dans les conditions définies aux articles R. 174-2-1 et suivants du code de la sécurité sociale</t>
    </r>
  </si>
  <si>
    <t xml:space="preserve">Activité SU </t>
  </si>
  <si>
    <t>Critère de décision global hors FIDES yc AME SU</t>
  </si>
  <si>
    <r>
      <rPr>
        <b/>
        <sz val="10"/>
        <rFont val="Arial"/>
        <family val="2"/>
      </rPr>
      <t>Recettes 2020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</rPr>
      <t>Pour les soins janvier/février = valo
Pour les soins mars/décembre =  définitive ou valo</t>
    </r>
  </si>
  <si>
    <r>
      <rPr>
        <b/>
        <sz val="10"/>
        <rFont val="Arial"/>
        <family val="2"/>
      </rPr>
      <t>6/12e recettes 2020</t>
    </r>
    <r>
      <rPr>
        <sz val="10"/>
        <rFont val="Arial"/>
        <family val="2"/>
      </rPr>
      <t xml:space="preserve">
</t>
    </r>
    <r>
      <rPr>
        <i/>
        <sz val="8"/>
        <rFont val="Arial"/>
        <family val="2"/>
      </rPr>
      <t>ETAPE 1 - Calcul de l'assiette = recette 2020/2</t>
    </r>
  </si>
  <si>
    <r>
      <t xml:space="preserve">Reversement sous-execution
</t>
    </r>
    <r>
      <rPr>
        <i/>
        <sz val="8"/>
        <rFont val="Arial"/>
        <family val="2"/>
      </rPr>
      <t>ETAPE 2 - Reversement de la sous-exécution</t>
    </r>
  </si>
  <si>
    <r>
      <t xml:space="preserve">effets prix par prestation pour l'établissement
</t>
    </r>
    <r>
      <rPr>
        <i/>
        <sz val="8"/>
        <rFont val="Arial"/>
        <family val="2"/>
      </rPr>
      <t>ETAPE 2 - Application effet prix par prestation (source: onglet taux)</t>
    </r>
  </si>
  <si>
    <r>
      <t xml:space="preserve">Assiette 2021
</t>
    </r>
    <r>
      <rPr>
        <i/>
        <sz val="8"/>
        <rFont val="Arial"/>
        <family val="2"/>
      </rPr>
      <t>Pour chaque prestation = somme (recettes 2020 /2;sous-exécution)*(1+effet prix)</t>
    </r>
  </si>
  <si>
    <r>
      <t xml:space="preserve">Montants mensuels M3-M6
(arrondi à l'€)
</t>
    </r>
    <r>
      <rPr>
        <i/>
        <sz val="8"/>
        <rFont val="Arial"/>
        <family val="2"/>
      </rPr>
      <t>Valeur à notifier pour versement = (Assiette 2021 - montant M1 2021- montant M2 2021)/4</t>
    </r>
    <r>
      <rPr>
        <b/>
        <sz val="10"/>
        <rFont val="Arial"/>
        <family val="2"/>
      </rPr>
      <t xml:space="preserve">
</t>
    </r>
  </si>
  <si>
    <r>
      <t xml:space="preserve">GF 2021 = somme des montants mensuels M1 à M6 (arrondi à l'€)
</t>
    </r>
    <r>
      <rPr>
        <i/>
        <sz val="8"/>
        <rFont val="Arial"/>
        <family val="2"/>
      </rPr>
      <t>Montant de la GF 2021 à notifier pour information</t>
    </r>
  </si>
  <si>
    <r>
      <t xml:space="preserve">Recettes 2020
</t>
    </r>
    <r>
      <rPr>
        <i/>
        <sz val="8"/>
        <rFont val="Arial"/>
        <family val="2"/>
      </rPr>
      <t>Pour les soins janvier/février = valo
Pour les soins mars/décembre =  GF définitive ou valo</t>
    </r>
  </si>
  <si>
    <r>
      <t xml:space="preserve">6/12e recettes 2020
</t>
    </r>
    <r>
      <rPr>
        <i/>
        <sz val="8"/>
        <rFont val="Arial"/>
        <family val="2"/>
      </rPr>
      <t>ETAPE 1 - Calcul de l'assiette = recette 2020 /2</t>
    </r>
  </si>
  <si>
    <r>
      <t xml:space="preserve">effets prix par prestation pour l'établissement
</t>
    </r>
    <r>
      <rPr>
        <i/>
        <sz val="8"/>
        <rFont val="Arial"/>
        <family val="2"/>
      </rPr>
      <t>ETAPE 2 - Application effet prix par prestation (source : onglet taux)</t>
    </r>
  </si>
  <si>
    <r>
      <t xml:space="preserve">Avances mensuelles à partir de M3
</t>
    </r>
    <r>
      <rPr>
        <i/>
        <sz val="8"/>
        <rFont val="Arial"/>
        <family val="2"/>
      </rPr>
      <t>= (valorsiation 2020 * 6/nb mois d'ouverture 2020) - avance M1- avance M2)/4</t>
    </r>
  </si>
  <si>
    <r>
      <t xml:space="preserve">GF 2020
</t>
    </r>
    <r>
      <rPr>
        <i/>
        <sz val="8"/>
        <rFont val="Arial"/>
        <family val="2"/>
      </rPr>
      <t>ETAPE 1 - Calcul de l'assiette = Garantie de financement 2020</t>
    </r>
  </si>
  <si>
    <r>
      <t xml:space="preserve">effets prix par prestation pour l'établissement
</t>
    </r>
    <r>
      <rPr>
        <i/>
        <sz val="8"/>
        <rFont val="Arial"/>
        <family val="2"/>
      </rPr>
      <t>ETAPE 2 - Application effet prix (source: onglet taux)</t>
    </r>
  </si>
  <si>
    <r>
      <t xml:space="preserve">Montants mensuels M3-M6
(arrondi à l'€)
</t>
    </r>
    <r>
      <rPr>
        <i/>
        <sz val="8"/>
        <rFont val="Arial"/>
        <family val="2"/>
      </rPr>
      <t>Valeur à notifier pour versement = (Assiette 2021 - montant M1 2021- montant M2 2021)/4</t>
    </r>
  </si>
  <si>
    <r>
      <rPr>
        <b/>
        <sz val="10"/>
        <rFont val="Arial"/>
        <family val="2"/>
      </rPr>
      <t>Avances mensuelles à partir de M3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(Valorisation 2020 * 6/12e) - avance M1- avance M2)/4</t>
    </r>
  </si>
  <si>
    <t>Cas particuliers (facultatif)</t>
  </si>
  <si>
    <t>Liste des cas particuliers pour le calibrage de la GF 2021. Explication du calcul effectué pour chaque cas.</t>
  </si>
  <si>
    <r>
      <t xml:space="preserve">Montant HAD de la garantie de financement de l’établissement au titre de la valorisation de l’activité hors aide médicale de l’Etat ( </t>
    </r>
    <r>
      <rPr>
        <b/>
        <sz val="9.5"/>
        <color rgb="FF2F2F2F"/>
        <rFont val="Arial"/>
        <family val="2"/>
      </rPr>
      <t>hors AME</t>
    </r>
    <r>
      <rPr>
        <sz val="9.5"/>
        <color rgb="FF2F2F2F"/>
        <rFont val="Arial"/>
        <family val="2"/>
      </rPr>
      <t xml:space="preserve">) </t>
    </r>
  </si>
  <si>
    <r>
      <t>Montant HAD de la garantie de financement de l’établissement au titre de la valorisation de l’activité des prestations relevant de l’aide médicale de l’Etat (</t>
    </r>
    <r>
      <rPr>
        <b/>
        <sz val="9.5"/>
        <color rgb="FF2F2F2F"/>
        <rFont val="Arial"/>
        <family val="2"/>
      </rPr>
      <t>AME</t>
    </r>
    <r>
      <rPr>
        <sz val="9.5"/>
        <color rgb="FF2F2F2F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</si>
</sst>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rgb="FF514B64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u/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2F2F2F"/>
      <name val="Arial"/>
      <family val="2"/>
    </font>
    <font>
      <sz val="9"/>
      <color rgb="FF444444"/>
      <name val="Arial"/>
      <family val="2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b/>
      <vertAlign val="superscript"/>
      <sz val="9.5"/>
      <color theme="1"/>
      <name val="Arial"/>
      <family val="2"/>
    </font>
    <font>
      <sz val="9.5"/>
      <color rgb="FF2F2F2F"/>
      <name val="Arial"/>
      <family val="2"/>
    </font>
    <font>
      <sz val="9.5"/>
      <color rgb="FF444444"/>
      <name val="Arial"/>
      <family val="2"/>
    </font>
    <font>
      <b/>
      <sz val="9.5"/>
      <color rgb="FF2F2F2F"/>
      <name val="Arial"/>
      <family val="2"/>
    </font>
    <font>
      <sz val="9"/>
      <color rgb="FF545654"/>
      <name val="Arial"/>
      <family val="2"/>
    </font>
    <font>
      <vertAlign val="superscript"/>
      <sz val="9.5"/>
      <color theme="1"/>
      <name val="Arial"/>
      <family val="2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9" fillId="0" borderId="0" xfId="0" applyFont="1"/>
    <xf numFmtId="0" fontId="8" fillId="0" borderId="0" xfId="0" applyFont="1"/>
    <xf numFmtId="0" fontId="10" fillId="3" borderId="0" xfId="2" applyFont="1" applyFill="1" applyAlignment="1">
      <alignment wrapText="1"/>
    </xf>
    <xf numFmtId="0" fontId="2" fillId="0" borderId="1" xfId="2" applyFont="1" applyBorder="1"/>
    <xf numFmtId="0" fontId="12" fillId="2" borderId="0" xfId="0" applyFont="1" applyFill="1" applyAlignment="1">
      <alignment horizontal="left" vertical="center"/>
    </xf>
    <xf numFmtId="0" fontId="0" fillId="2" borderId="0" xfId="0" applyFont="1" applyFill="1"/>
    <xf numFmtId="0" fontId="0" fillId="2" borderId="0" xfId="0" quotePrefix="1" applyFont="1" applyFill="1" applyAlignment="1">
      <alignment horizontal="left" indent="1"/>
    </xf>
    <xf numFmtId="0" fontId="0" fillId="2" borderId="0" xfId="0" applyFont="1" applyFill="1" applyAlignment="1">
      <alignment horizontal="left" indent="1"/>
    </xf>
    <xf numFmtId="164" fontId="4" fillId="0" borderId="1" xfId="1" applyFont="1" applyBorder="1" applyAlignment="1">
      <alignment wrapText="1"/>
    </xf>
    <xf numFmtId="164" fontId="2" fillId="0" borderId="0" xfId="1" applyFont="1" applyBorder="1"/>
    <xf numFmtId="164" fontId="4" fillId="0" borderId="0" xfId="1" applyFont="1" applyBorder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quotePrefix="1" applyFont="1" applyFill="1"/>
    <xf numFmtId="0" fontId="0" fillId="2" borderId="1" xfId="0" applyFont="1" applyFill="1" applyBorder="1" applyAlignment="1">
      <alignment wrapText="1"/>
    </xf>
    <xf numFmtId="0" fontId="0" fillId="2" borderId="1" xfId="0" quotePrefix="1" applyFont="1" applyFill="1" applyBorder="1" applyAlignment="1">
      <alignment horizontal="left" wrapText="1"/>
    </xf>
    <xf numFmtId="16" fontId="0" fillId="2" borderId="0" xfId="0" applyNumberFormat="1" applyFont="1" applyFill="1"/>
    <xf numFmtId="0" fontId="0" fillId="2" borderId="0" xfId="0" quotePrefix="1" applyFont="1" applyFill="1" applyAlignment="1">
      <alignment horizontal="left" wrapText="1" indent="1"/>
    </xf>
    <xf numFmtId="0" fontId="15" fillId="2" borderId="0" xfId="0" applyFont="1" applyFill="1"/>
    <xf numFmtId="0" fontId="5" fillId="2" borderId="0" xfId="0" quotePrefix="1" applyFont="1" applyFill="1" applyAlignment="1">
      <alignment horizontal="left" wrapText="1" inden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Border="1"/>
    <xf numFmtId="0" fontId="10" fillId="2" borderId="0" xfId="2" applyFont="1" applyFill="1" applyAlignment="1">
      <alignment wrapText="1"/>
    </xf>
    <xf numFmtId="164" fontId="2" fillId="2" borderId="0" xfId="1" applyFont="1" applyFill="1" applyBorder="1"/>
    <xf numFmtId="10" fontId="4" fillId="0" borderId="1" xfId="8" applyNumberFormat="1" applyFont="1" applyBorder="1"/>
    <xf numFmtId="10" fontId="4" fillId="7" borderId="1" xfId="8" applyNumberFormat="1" applyFont="1" applyFill="1" applyBorder="1" applyAlignment="1">
      <alignment wrapText="1"/>
    </xf>
    <xf numFmtId="10" fontId="4" fillId="7" borderId="1" xfId="8" applyNumberFormat="1" applyFont="1" applyFill="1" applyBorder="1"/>
    <xf numFmtId="10" fontId="13" fillId="6" borderId="1" xfId="8" applyNumberFormat="1" applyFont="1" applyFill="1" applyBorder="1" applyAlignment="1">
      <alignment wrapText="1"/>
    </xf>
    <xf numFmtId="10" fontId="14" fillId="8" borderId="1" xfId="8" applyNumberFormat="1" applyFont="1" applyFill="1" applyBorder="1"/>
    <xf numFmtId="164" fontId="13" fillId="6" borderId="1" xfId="1" applyFont="1" applyFill="1" applyBorder="1" applyAlignment="1">
      <alignment wrapText="1"/>
    </xf>
    <xf numFmtId="4" fontId="0" fillId="0" borderId="0" xfId="0" applyNumberFormat="1"/>
    <xf numFmtId="10" fontId="2" fillId="7" borderId="1" xfId="8" applyNumberFormat="1" applyFont="1" applyFill="1" applyBorder="1" applyAlignment="1">
      <alignment vertical="center" wrapText="1"/>
    </xf>
    <xf numFmtId="0" fontId="2" fillId="2" borderId="0" xfId="2" applyFont="1" applyFill="1"/>
    <xf numFmtId="0" fontId="3" fillId="2" borderId="0" xfId="2" applyFont="1" applyFill="1" applyAlignment="1"/>
    <xf numFmtId="0" fontId="3" fillId="2" borderId="0" xfId="2" applyFont="1" applyFill="1" applyAlignment="1">
      <alignment horizontal="left"/>
    </xf>
    <xf numFmtId="4" fontId="2" fillId="2" borderId="0" xfId="2" applyNumberFormat="1" applyFont="1" applyFill="1" applyAlignment="1">
      <alignment horizontal="left"/>
    </xf>
    <xf numFmtId="0" fontId="0" fillId="0" borderId="0" xfId="0"/>
    <xf numFmtId="0" fontId="21" fillId="0" borderId="0" xfId="6" applyFont="1" applyAlignment="1">
      <alignment wrapText="1"/>
    </xf>
    <xf numFmtId="0" fontId="21" fillId="0" borderId="0" xfId="6" applyFont="1" applyAlignment="1"/>
    <xf numFmtId="0" fontId="2" fillId="2" borderId="0" xfId="2" applyFont="1" applyFill="1" applyAlignment="1"/>
    <xf numFmtId="0" fontId="24" fillId="2" borderId="0" xfId="0" applyFont="1" applyFill="1"/>
    <xf numFmtId="165" fontId="25" fillId="2" borderId="0" xfId="8" applyNumberFormat="1" applyFont="1" applyFill="1"/>
    <xf numFmtId="0" fontId="25" fillId="2" borderId="0" xfId="2" applyFont="1" applyFill="1"/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3" fillId="0" borderId="7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4" fontId="29" fillId="0" borderId="6" xfId="0" applyNumberFormat="1" applyFont="1" applyBorder="1" applyAlignment="1">
      <alignment horizontal="center" vertical="center" wrapText="1"/>
    </xf>
    <xf numFmtId="43" fontId="33" fillId="0" borderId="9" xfId="0" applyNumberFormat="1" applyFont="1" applyBorder="1" applyAlignment="1">
      <alignment horizontal="center" vertical="center" wrapText="1"/>
    </xf>
    <xf numFmtId="43" fontId="29" fillId="0" borderId="9" xfId="0" applyNumberFormat="1" applyFont="1" applyBorder="1" applyAlignment="1">
      <alignment horizontal="center" vertical="center" wrapText="1"/>
    </xf>
    <xf numFmtId="43" fontId="0" fillId="0" borderId="0" xfId="0" applyNumberFormat="1"/>
    <xf numFmtId="166" fontId="4" fillId="0" borderId="1" xfId="1" applyNumberFormat="1" applyFont="1" applyBorder="1" applyAlignment="1">
      <alignment wrapText="1"/>
    </xf>
    <xf numFmtId="0" fontId="0" fillId="0" borderId="0" xfId="0" quotePrefix="1"/>
    <xf numFmtId="0" fontId="11" fillId="2" borderId="1" xfId="0" applyFont="1" applyFill="1" applyBorder="1"/>
    <xf numFmtId="10" fontId="0" fillId="12" borderId="1" xfId="8" applyNumberFormat="1" applyFont="1" applyFill="1" applyBorder="1"/>
    <xf numFmtId="10" fontId="0" fillId="13" borderId="1" xfId="8" applyNumberFormat="1" applyFont="1" applyFill="1" applyBorder="1"/>
    <xf numFmtId="0" fontId="36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19" fillId="0" borderId="0" xfId="0" applyFont="1"/>
    <xf numFmtId="0" fontId="19" fillId="12" borderId="1" xfId="0" applyFont="1" applyFill="1" applyBorder="1"/>
    <xf numFmtId="0" fontId="19" fillId="13" borderId="1" xfId="0" applyFont="1" applyFill="1" applyBorder="1"/>
    <xf numFmtId="0" fontId="11" fillId="2" borderId="0" xfId="0" applyFont="1" applyFill="1"/>
    <xf numFmtId="10" fontId="4" fillId="16" borderId="1" xfId="8" applyNumberFormat="1" applyFont="1" applyFill="1" applyBorder="1"/>
    <xf numFmtId="164" fontId="16" fillId="0" borderId="0" xfId="1" applyFont="1" applyFill="1" applyAlignment="1">
      <alignment horizontal="left"/>
    </xf>
    <xf numFmtId="164" fontId="17" fillId="0" borderId="0" xfId="1" applyFont="1" applyFill="1" applyAlignment="1">
      <alignment horizontal="center" vertical="center"/>
    </xf>
    <xf numFmtId="164" fontId="17" fillId="0" borderId="3" xfId="1" applyFont="1" applyFill="1" applyBorder="1" applyAlignment="1">
      <alignment horizontal="left"/>
    </xf>
    <xf numFmtId="164" fontId="0" fillId="0" borderId="0" xfId="1" applyFont="1"/>
    <xf numFmtId="0" fontId="31" fillId="0" borderId="7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3" fillId="2" borderId="0" xfId="2" applyFont="1" applyFill="1"/>
    <xf numFmtId="0" fontId="7" fillId="3" borderId="0" xfId="6" applyFont="1" applyFill="1"/>
    <xf numFmtId="0" fontId="7" fillId="2" borderId="0" xfId="6" applyFont="1" applyFill="1"/>
    <xf numFmtId="0" fontId="2" fillId="2" borderId="0" xfId="6" applyFill="1"/>
    <xf numFmtId="0" fontId="2" fillId="0" borderId="0" xfId="6"/>
    <xf numFmtId="0" fontId="3" fillId="0" borderId="0" xfId="6" applyFont="1"/>
    <xf numFmtId="0" fontId="2" fillId="0" borderId="0" xfId="6" applyFont="1"/>
    <xf numFmtId="0" fontId="2" fillId="0" borderId="1" xfId="6" applyFont="1" applyBorder="1" applyAlignment="1">
      <alignment wrapText="1"/>
    </xf>
    <xf numFmtId="0" fontId="2" fillId="17" borderId="0" xfId="0" applyFont="1" applyFill="1" applyAlignment="1">
      <alignment wrapText="1"/>
    </xf>
    <xf numFmtId="164" fontId="4" fillId="17" borderId="1" xfId="1" applyFont="1" applyFill="1" applyBorder="1" applyAlignment="1">
      <alignment wrapText="1"/>
    </xf>
    <xf numFmtId="0" fontId="8" fillId="0" borderId="0" xfId="6" applyFont="1"/>
    <xf numFmtId="0" fontId="37" fillId="3" borderId="0" xfId="2" applyFont="1" applyFill="1" applyAlignment="1">
      <alignment vertical="center" wrapText="1"/>
    </xf>
    <xf numFmtId="0" fontId="3" fillId="9" borderId="2" xfId="6" applyFont="1" applyFill="1" applyBorder="1" applyAlignment="1">
      <alignment vertical="center" wrapText="1"/>
    </xf>
    <xf numFmtId="0" fontId="38" fillId="9" borderId="2" xfId="6" applyFont="1" applyFill="1" applyBorder="1" applyAlignment="1">
      <alignment vertical="center" wrapText="1"/>
    </xf>
    <xf numFmtId="0" fontId="2" fillId="9" borderId="2" xfId="6" applyFont="1" applyFill="1" applyBorder="1" applyAlignment="1">
      <alignment vertical="center" wrapText="1"/>
    </xf>
    <xf numFmtId="0" fontId="3" fillId="4" borderId="2" xfId="2" applyFont="1" applyFill="1" applyBorder="1" applyAlignment="1">
      <alignment vertical="center" wrapText="1"/>
    </xf>
    <xf numFmtId="0" fontId="3" fillId="5" borderId="2" xfId="6" applyFont="1" applyFill="1" applyBorder="1" applyAlignment="1">
      <alignment vertical="center" wrapText="1"/>
    </xf>
    <xf numFmtId="0" fontId="2" fillId="0" borderId="0" xfId="6" applyAlignment="1">
      <alignment vertical="center"/>
    </xf>
    <xf numFmtId="0" fontId="2" fillId="0" borderId="1" xfId="6" applyFont="1" applyBorder="1" applyAlignment="1">
      <alignment vertical="center" wrapText="1"/>
    </xf>
    <xf numFmtId="0" fontId="3" fillId="7" borderId="1" xfId="6" applyFont="1" applyFill="1" applyBorder="1" applyAlignment="1">
      <alignment vertical="center" wrapText="1"/>
    </xf>
    <xf numFmtId="0" fontId="2" fillId="2" borderId="1" xfId="6" applyFont="1" applyFill="1" applyBorder="1" applyAlignment="1">
      <alignment vertical="center" wrapText="1"/>
    </xf>
    <xf numFmtId="0" fontId="3" fillId="6" borderId="1" xfId="6" applyFont="1" applyFill="1" applyBorder="1" applyAlignment="1">
      <alignment vertical="center" wrapText="1"/>
    </xf>
    <xf numFmtId="0" fontId="3" fillId="8" borderId="1" xfId="6" applyFont="1" applyFill="1" applyBorder="1" applyAlignment="1">
      <alignment vertical="center" wrapText="1"/>
    </xf>
    <xf numFmtId="43" fontId="2" fillId="0" borderId="0" xfId="6" applyNumberFormat="1" applyFont="1"/>
    <xf numFmtId="0" fontId="3" fillId="9" borderId="1" xfId="6" applyFont="1" applyFill="1" applyBorder="1" applyAlignment="1">
      <alignment vertical="center" wrapText="1"/>
    </xf>
    <xf numFmtId="0" fontId="3" fillId="5" borderId="1" xfId="6" applyFont="1" applyFill="1" applyBorder="1" applyAlignment="1">
      <alignment vertical="center" wrapText="1"/>
    </xf>
    <xf numFmtId="43" fontId="2" fillId="0" borderId="0" xfId="6" applyNumberFormat="1"/>
    <xf numFmtId="0" fontId="3" fillId="0" borderId="0" xfId="6" applyFont="1" applyAlignment="1">
      <alignment vertical="center"/>
    </xf>
    <xf numFmtId="0" fontId="2" fillId="0" borderId="0" xfId="6" applyFont="1" applyBorder="1" applyAlignment="1">
      <alignment wrapText="1"/>
    </xf>
    <xf numFmtId="0" fontId="2" fillId="7" borderId="1" xfId="6" applyFont="1" applyFill="1" applyBorder="1" applyAlignment="1">
      <alignment vertical="center" wrapText="1"/>
    </xf>
    <xf numFmtId="0" fontId="2" fillId="8" borderId="1" xfId="6" applyFont="1" applyFill="1" applyBorder="1" applyAlignment="1">
      <alignment vertical="center" wrapText="1"/>
    </xf>
    <xf numFmtId="4" fontId="0" fillId="0" borderId="0" xfId="1" applyNumberFormat="1" applyFont="1"/>
    <xf numFmtId="4" fontId="17" fillId="0" borderId="0" xfId="1" applyNumberFormat="1" applyFont="1" applyFill="1" applyAlignment="1">
      <alignment horizontal="center" vertical="center"/>
    </xf>
    <xf numFmtId="4" fontId="17" fillId="0" borderId="3" xfId="1" applyNumberFormat="1" applyFont="1" applyFill="1" applyBorder="1" applyAlignment="1">
      <alignment horizontal="left" wrapText="1"/>
    </xf>
    <xf numFmtId="164" fontId="4" fillId="0" borderId="0" xfId="1" applyFont="1"/>
    <xf numFmtId="0" fontId="4" fillId="0" borderId="0" xfId="0" applyFont="1"/>
    <xf numFmtId="43" fontId="4" fillId="0" borderId="1" xfId="1" applyNumberFormat="1" applyFont="1" applyBorder="1" applyAlignment="1">
      <alignment wrapText="1"/>
    </xf>
    <xf numFmtId="43" fontId="4" fillId="7" borderId="1" xfId="1" applyNumberFormat="1" applyFont="1" applyFill="1" applyBorder="1" applyAlignment="1">
      <alignment wrapText="1"/>
    </xf>
    <xf numFmtId="43" fontId="13" fillId="6" borderId="1" xfId="1" applyNumberFormat="1" applyFont="1" applyFill="1" applyBorder="1" applyAlignment="1">
      <alignment wrapText="1"/>
    </xf>
    <xf numFmtId="43" fontId="3" fillId="8" borderId="1" xfId="1" applyNumberFormat="1" applyFont="1" applyFill="1" applyBorder="1"/>
    <xf numFmtId="43" fontId="4" fillId="0" borderId="1" xfId="1" applyNumberFormat="1" applyFont="1" applyBorder="1"/>
    <xf numFmtId="43" fontId="4" fillId="16" borderId="1" xfId="1" applyNumberFormat="1" applyFont="1" applyFill="1" applyBorder="1"/>
    <xf numFmtId="43" fontId="4" fillId="16" borderId="1" xfId="1" applyNumberFormat="1" applyFont="1" applyFill="1" applyBorder="1" applyAlignment="1">
      <alignment wrapText="1"/>
    </xf>
    <xf numFmtId="43" fontId="4" fillId="7" borderId="1" xfId="1" applyNumberFormat="1" applyFont="1" applyFill="1" applyBorder="1"/>
    <xf numFmtId="43" fontId="3" fillId="8" borderId="1" xfId="5" applyNumberFormat="1" applyFont="1" applyFill="1" applyBorder="1"/>
    <xf numFmtId="43" fontId="2" fillId="0" borderId="1" xfId="1" applyNumberFormat="1" applyFont="1" applyBorder="1"/>
    <xf numFmtId="43" fontId="2" fillId="7" borderId="1" xfId="1" applyNumberFormat="1" applyFont="1" applyFill="1" applyBorder="1" applyAlignment="1">
      <alignment vertical="center" wrapText="1"/>
    </xf>
    <xf numFmtId="43" fontId="2" fillId="8" borderId="1" xfId="1" applyNumberFormat="1" applyFont="1" applyFill="1" applyBorder="1"/>
    <xf numFmtId="43" fontId="3" fillId="11" borderId="0" xfId="1" applyNumberFormat="1" applyFont="1" applyFill="1" applyBorder="1" applyAlignment="1"/>
    <xf numFmtId="43" fontId="11" fillId="11" borderId="0" xfId="1" applyNumberFormat="1" applyFont="1" applyFill="1" applyBorder="1" applyAlignment="1">
      <alignment wrapText="1"/>
    </xf>
    <xf numFmtId="43" fontId="3" fillId="10" borderId="0" xfId="1" applyNumberFormat="1" applyFont="1" applyFill="1" applyBorder="1" applyAlignment="1"/>
    <xf numFmtId="43" fontId="11" fillId="10" borderId="0" xfId="1" applyNumberFormat="1" applyFont="1" applyFill="1" applyBorder="1" applyAlignment="1">
      <alignment wrapText="1"/>
    </xf>
    <xf numFmtId="43" fontId="3" fillId="5" borderId="0" xfId="1" applyNumberFormat="1" applyFont="1" applyFill="1" applyBorder="1" applyAlignment="1"/>
    <xf numFmtId="43" fontId="11" fillId="5" borderId="0" xfId="1" applyNumberFormat="1" applyFont="1" applyFill="1" applyBorder="1" applyAlignment="1">
      <alignment wrapText="1"/>
    </xf>
    <xf numFmtId="43" fontId="3" fillId="7" borderId="0" xfId="1" applyNumberFormat="1" applyFont="1" applyFill="1" applyBorder="1" applyAlignment="1"/>
    <xf numFmtId="43" fontId="11" fillId="7" borderId="0" xfId="1" applyNumberFormat="1" applyFont="1" applyFill="1" applyAlignment="1">
      <alignment wrapText="1"/>
    </xf>
    <xf numFmtId="43" fontId="3" fillId="14" borderId="0" xfId="1" applyNumberFormat="1" applyFont="1" applyFill="1" applyBorder="1" applyAlignment="1"/>
    <xf numFmtId="43" fontId="11" fillId="14" borderId="0" xfId="1" applyNumberFormat="1" applyFont="1" applyFill="1" applyAlignment="1">
      <alignment wrapText="1"/>
    </xf>
    <xf numFmtId="43" fontId="18" fillId="11" borderId="3" xfId="1" applyNumberFormat="1" applyFont="1" applyFill="1" applyBorder="1" applyAlignment="1">
      <alignment horizontal="center" wrapText="1"/>
    </xf>
    <xf numFmtId="43" fontId="18" fillId="10" borderId="3" xfId="1" applyNumberFormat="1" applyFont="1" applyFill="1" applyBorder="1" applyAlignment="1">
      <alignment horizontal="center" wrapText="1"/>
    </xf>
    <xf numFmtId="43" fontId="18" fillId="5" borderId="3" xfId="1" applyNumberFormat="1" applyFont="1" applyFill="1" applyBorder="1" applyAlignment="1">
      <alignment horizontal="center" wrapText="1"/>
    </xf>
    <xf numFmtId="43" fontId="20" fillId="7" borderId="3" xfId="1" applyNumberFormat="1" applyFont="1" applyFill="1" applyBorder="1"/>
    <xf numFmtId="43" fontId="20" fillId="14" borderId="3" xfId="1" applyNumberFormat="1" applyFont="1" applyFill="1" applyBorder="1"/>
    <xf numFmtId="43" fontId="0" fillId="0" borderId="0" xfId="1" applyNumberFormat="1" applyFont="1"/>
    <xf numFmtId="43" fontId="2" fillId="2" borderId="0" xfId="6" applyNumberFormat="1" applyFont="1" applyFill="1"/>
    <xf numFmtId="43" fontId="2" fillId="2" borderId="0" xfId="6" applyNumberFormat="1" applyFill="1"/>
    <xf numFmtId="43" fontId="3" fillId="9" borderId="2" xfId="6" applyNumberFormat="1" applyFont="1" applyFill="1" applyBorder="1" applyAlignment="1">
      <alignment vertical="center" wrapText="1"/>
    </xf>
    <xf numFmtId="43" fontId="3" fillId="0" borderId="0" xfId="6" applyNumberFormat="1" applyFont="1" applyAlignment="1">
      <alignment vertical="center"/>
    </xf>
    <xf numFmtId="43" fontId="2" fillId="0" borderId="0" xfId="8" applyNumberFormat="1" applyFont="1"/>
    <xf numFmtId="43" fontId="14" fillId="8" borderId="1" xfId="1" applyNumberFormat="1" applyFont="1" applyFill="1" applyBorder="1"/>
    <xf numFmtId="43" fontId="2" fillId="0" borderId="0" xfId="1" applyNumberFormat="1" applyFont="1"/>
    <xf numFmtId="43" fontId="3" fillId="15" borderId="0" xfId="1" applyNumberFormat="1" applyFont="1" applyFill="1" applyBorder="1" applyAlignment="1"/>
    <xf numFmtId="43" fontId="11" fillId="15" borderId="0" xfId="1" applyNumberFormat="1" applyFont="1" applyFill="1" applyBorder="1" applyAlignment="1">
      <alignment wrapText="1"/>
    </xf>
    <xf numFmtId="43" fontId="18" fillId="15" borderId="3" xfId="1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wrapText="1"/>
    </xf>
    <xf numFmtId="0" fontId="8" fillId="0" borderId="0" xfId="0" applyFont="1" applyFill="1"/>
    <xf numFmtId="0" fontId="4" fillId="0" borderId="0" xfId="0" applyFont="1" applyFill="1"/>
    <xf numFmtId="43" fontId="4" fillId="0" borderId="0" xfId="0" applyNumberFormat="1" applyFont="1" applyFill="1"/>
    <xf numFmtId="10" fontId="3" fillId="4" borderId="1" xfId="8" applyNumberFormat="1" applyFont="1" applyFill="1" applyBorder="1" applyAlignment="1">
      <alignment vertical="center" wrapText="1"/>
    </xf>
    <xf numFmtId="10" fontId="3" fillId="4" borderId="2" xfId="8" applyNumberFormat="1" applyFont="1" applyFill="1" applyBorder="1" applyAlignment="1">
      <alignment vertical="center" wrapText="1"/>
    </xf>
    <xf numFmtId="43" fontId="29" fillId="0" borderId="9" xfId="1" applyNumberFormat="1" applyFont="1" applyBorder="1" applyAlignment="1">
      <alignment horizontal="center" vertical="center" wrapText="1"/>
    </xf>
    <xf numFmtId="43" fontId="33" fillId="0" borderId="9" xfId="1" applyNumberFormat="1" applyFont="1" applyBorder="1" applyAlignment="1">
      <alignment horizontal="center" vertical="center" wrapText="1"/>
    </xf>
    <xf numFmtId="43" fontId="31" fillId="0" borderId="9" xfId="1" applyNumberFormat="1" applyFont="1" applyBorder="1" applyAlignment="1">
      <alignment horizontal="center" vertical="center" wrapText="1"/>
    </xf>
    <xf numFmtId="0" fontId="7" fillId="3" borderId="0" xfId="6" applyFont="1" applyFill="1" applyAlignment="1">
      <alignment horizontal="left" wrapText="1"/>
    </xf>
    <xf numFmtId="0" fontId="31" fillId="0" borderId="8" xfId="0" applyFont="1" applyBorder="1" applyAlignment="1">
      <alignment vertical="center" wrapText="1"/>
    </xf>
    <xf numFmtId="0" fontId="31" fillId="0" borderId="7" xfId="0" applyFont="1" applyBorder="1" applyAlignment="1">
      <alignment vertical="center" wrapText="1"/>
    </xf>
    <xf numFmtId="43" fontId="31" fillId="0" borderId="8" xfId="1" applyNumberFormat="1" applyFont="1" applyBorder="1" applyAlignment="1">
      <alignment horizontal="center" vertical="center" wrapText="1"/>
    </xf>
    <xf numFmtId="43" fontId="31" fillId="0" borderId="7" xfId="1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43" fontId="33" fillId="0" borderId="8" xfId="1" applyNumberFormat="1" applyFont="1" applyBorder="1" applyAlignment="1">
      <alignment horizontal="center" vertical="center" wrapText="1"/>
    </xf>
    <xf numFmtId="43" fontId="33" fillId="0" borderId="7" xfId="1" applyNumberFormat="1" applyFont="1" applyBorder="1" applyAlignment="1">
      <alignment horizontal="center" vertical="center" wrapText="1"/>
    </xf>
    <xf numFmtId="0" fontId="22" fillId="2" borderId="0" xfId="2" applyFont="1" applyFill="1" applyAlignment="1">
      <alignment horizontal="center" wrapText="1"/>
    </xf>
    <xf numFmtId="0" fontId="23" fillId="2" borderId="0" xfId="2" applyFont="1" applyFill="1"/>
  </cellXfs>
  <cellStyles count="12">
    <cellStyle name="Milliers" xfId="1" builtinId="3"/>
    <cellStyle name="Milliers 2" xfId="5" xr:uid="{4A01A64C-2E95-4639-A658-85FA3F521763}"/>
    <cellStyle name="Milliers 2 2" xfId="10" xr:uid="{00000000-0005-0000-0000-000001000000}"/>
    <cellStyle name="Milliers 3" xfId="7" xr:uid="{33318272-2156-40CC-8811-548E0288D2DF}"/>
    <cellStyle name="Milliers 3 2" xfId="11" xr:uid="{00000000-0005-0000-0000-000002000000}"/>
    <cellStyle name="Normal" xfId="0" builtinId="0"/>
    <cellStyle name="Normal 2" xfId="2" xr:uid="{00000000-0005-0000-0000-000002000000}"/>
    <cellStyle name="Normal 3" xfId="3" xr:uid="{7FF42F8F-BF36-4B38-B470-40812F700552}"/>
    <cellStyle name="Normal 3 2" xfId="6" xr:uid="{D0CB1CDE-6C14-4DE7-934E-E0B011BB641B}"/>
    <cellStyle name="Pourcentage" xfId="8" builtinId="5"/>
    <cellStyle name="Pourcentage 2" xfId="4" xr:uid="{75E9CC39-03D8-41CC-8BD2-6BF71E42489D}"/>
    <cellStyle name="Pourcentage 2 2" xfId="9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152400</xdr:rowOff>
    </xdr:from>
    <xdr:to>
      <xdr:col>1</xdr:col>
      <xdr:colOff>514350</xdr:colOff>
      <xdr:row>4</xdr:row>
      <xdr:rowOff>93345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C425A0-F4B2-4F21-A34B-A31A1C291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11049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9B431-41DC-491E-8894-EA4581301093}">
  <sheetPr codeName="Feuil1"/>
  <dimension ref="C4:F31"/>
  <sheetViews>
    <sheetView tabSelected="1" workbookViewId="0">
      <selection activeCell="C4" sqref="C4"/>
    </sheetView>
  </sheetViews>
  <sheetFormatPr baseColWidth="10" defaultColWidth="11.5546875" defaultRowHeight="14.4" x14ac:dyDescent="0.3"/>
  <cols>
    <col min="1" max="2" width="11.5546875" style="6"/>
    <col min="3" max="3" width="36.88671875" style="6" customWidth="1"/>
    <col min="4" max="4" width="75.44140625" style="6" customWidth="1"/>
    <col min="5" max="5" width="35" style="6" customWidth="1"/>
    <col min="6" max="6" width="42.33203125" style="6" customWidth="1"/>
    <col min="7" max="16384" width="11.5546875" style="6"/>
  </cols>
  <sheetData>
    <row r="4" spans="3:6" ht="22.8" x14ac:dyDescent="0.3">
      <c r="C4" s="5" t="s">
        <v>171</v>
      </c>
      <c r="D4" s="5"/>
    </row>
    <row r="5" spans="3:6" ht="22.8" x14ac:dyDescent="0.3">
      <c r="C5" s="5" t="s">
        <v>172</v>
      </c>
      <c r="D5" s="5"/>
    </row>
    <row r="6" spans="3:6" ht="22.8" x14ac:dyDescent="0.3">
      <c r="D6" s="5"/>
    </row>
    <row r="8" spans="3:6" x14ac:dyDescent="0.3">
      <c r="C8" s="60" t="s">
        <v>150</v>
      </c>
      <c r="D8" s="60" t="s">
        <v>151</v>
      </c>
    </row>
    <row r="9" spans="3:6" ht="28.8" x14ac:dyDescent="0.3">
      <c r="C9" s="14" t="s">
        <v>152</v>
      </c>
      <c r="D9" s="15" t="s">
        <v>161</v>
      </c>
    </row>
    <row r="10" spans="3:6" ht="28.8" x14ac:dyDescent="0.3">
      <c r="C10" s="14" t="s">
        <v>202</v>
      </c>
      <c r="D10" s="15" t="s">
        <v>203</v>
      </c>
    </row>
    <row r="11" spans="3:6" ht="28.8" x14ac:dyDescent="0.3">
      <c r="C11" s="15" t="s">
        <v>153</v>
      </c>
      <c r="D11" s="15" t="s">
        <v>173</v>
      </c>
    </row>
    <row r="12" spans="3:6" ht="28.8" x14ac:dyDescent="0.3">
      <c r="C12" s="15" t="s">
        <v>154</v>
      </c>
      <c r="D12" s="15" t="s">
        <v>174</v>
      </c>
    </row>
    <row r="13" spans="3:6" ht="28.8" x14ac:dyDescent="0.3">
      <c r="C13" s="15" t="s">
        <v>155</v>
      </c>
      <c r="D13" s="15" t="s">
        <v>162</v>
      </c>
      <c r="E13" s="17"/>
      <c r="F13" s="17"/>
    </row>
    <row r="14" spans="3:6" ht="28.8" x14ac:dyDescent="0.3">
      <c r="C14" s="15" t="s">
        <v>156</v>
      </c>
      <c r="D14" s="15" t="s">
        <v>163</v>
      </c>
      <c r="E14" s="12"/>
      <c r="F14" s="12"/>
    </row>
    <row r="15" spans="3:6" ht="43.2" x14ac:dyDescent="0.3">
      <c r="C15" s="15" t="s">
        <v>157</v>
      </c>
      <c r="D15" s="15" t="s">
        <v>164</v>
      </c>
      <c r="E15" s="7"/>
      <c r="F15" s="7"/>
    </row>
    <row r="16" spans="3:6" ht="43.2" x14ac:dyDescent="0.3">
      <c r="C16" s="15" t="s">
        <v>158</v>
      </c>
      <c r="D16" s="15" t="s">
        <v>164</v>
      </c>
      <c r="E16" s="19"/>
      <c r="F16" s="19"/>
    </row>
    <row r="17" spans="3:6" ht="57.6" x14ac:dyDescent="0.3">
      <c r="C17" s="15" t="s">
        <v>159</v>
      </c>
      <c r="D17" s="15" t="s">
        <v>165</v>
      </c>
      <c r="E17" s="16"/>
      <c r="F17" s="16"/>
    </row>
    <row r="18" spans="3:6" ht="43.2" x14ac:dyDescent="0.3">
      <c r="C18" s="15" t="s">
        <v>160</v>
      </c>
      <c r="D18" s="15" t="s">
        <v>166</v>
      </c>
    </row>
    <row r="19" spans="3:6" x14ac:dyDescent="0.3">
      <c r="C19" s="8"/>
      <c r="D19" s="7"/>
    </row>
    <row r="20" spans="3:6" x14ac:dyDescent="0.3">
      <c r="C20" s="7"/>
      <c r="D20" s="7"/>
    </row>
    <row r="21" spans="3:6" x14ac:dyDescent="0.3">
      <c r="C21" s="7"/>
      <c r="D21" s="19"/>
    </row>
    <row r="22" spans="3:6" x14ac:dyDescent="0.3">
      <c r="D22" s="16"/>
    </row>
    <row r="26" spans="3:6" x14ac:dyDescent="0.3">
      <c r="C26" s="18"/>
    </row>
    <row r="27" spans="3:6" x14ac:dyDescent="0.3">
      <c r="C27" s="13"/>
    </row>
    <row r="28" spans="3:6" x14ac:dyDescent="0.3">
      <c r="C28" s="13"/>
    </row>
    <row r="29" spans="3:6" x14ac:dyDescent="0.3">
      <c r="C29" s="13"/>
    </row>
    <row r="30" spans="3:6" x14ac:dyDescent="0.3">
      <c r="C30" s="13"/>
    </row>
    <row r="31" spans="3:6" x14ac:dyDescent="0.3">
      <c r="C31" s="13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2B52-CDE8-4040-BBBF-012F94600455}">
  <sheetPr codeName="Feuil10"/>
  <dimension ref="A1:T5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/>
    </sheetView>
  </sheetViews>
  <sheetFormatPr baseColWidth="10" defaultRowHeight="14.4" x14ac:dyDescent="0.3"/>
  <cols>
    <col min="1" max="1" width="9.77734375" bestFit="1" customWidth="1"/>
    <col min="3" max="3" width="15.33203125" bestFit="1" customWidth="1"/>
    <col min="4" max="4" width="11.88671875" bestFit="1" customWidth="1"/>
    <col min="5" max="5" width="16" bestFit="1" customWidth="1"/>
    <col min="6" max="6" width="17.33203125" style="30" customWidth="1"/>
    <col min="7" max="7" width="16.77734375" style="57" bestFit="1" customWidth="1"/>
    <col min="8" max="8" width="11.77734375" style="57" bestFit="1" customWidth="1"/>
    <col min="9" max="9" width="15.109375" style="57" bestFit="1" customWidth="1"/>
    <col min="10" max="10" width="25.44140625" style="57" bestFit="1" customWidth="1"/>
    <col min="11" max="11" width="11.77734375" style="57" bestFit="1" customWidth="1"/>
    <col min="12" max="12" width="14.109375" style="57" bestFit="1" customWidth="1"/>
    <col min="13" max="13" width="13.5546875" style="57" bestFit="1" customWidth="1"/>
    <col min="14" max="15" width="13.77734375" style="57" bestFit="1" customWidth="1"/>
    <col min="16" max="16" width="18" style="57" bestFit="1" customWidth="1"/>
    <col min="17" max="17" width="12.88671875" style="57" customWidth="1"/>
    <col min="18" max="19" width="13.77734375" style="57" bestFit="1" customWidth="1"/>
    <col min="20" max="20" width="18" style="57" bestFit="1" customWidth="1"/>
  </cols>
  <sheetData>
    <row r="1" spans="1:20" ht="15.6" x14ac:dyDescent="0.3">
      <c r="A1" s="71"/>
      <c r="B1" s="72"/>
      <c r="C1" s="72"/>
      <c r="D1" s="72"/>
      <c r="E1" s="72"/>
      <c r="F1" s="109"/>
      <c r="G1" s="125" t="s">
        <v>28</v>
      </c>
      <c r="H1" s="126"/>
      <c r="I1" s="126"/>
      <c r="J1" s="129" t="s">
        <v>41</v>
      </c>
      <c r="K1" s="130"/>
      <c r="L1" s="130"/>
      <c r="M1" s="131" t="s">
        <v>81</v>
      </c>
      <c r="N1" s="131"/>
      <c r="O1" s="132"/>
      <c r="P1" s="132"/>
      <c r="Q1" s="133" t="s">
        <v>82</v>
      </c>
      <c r="R1" s="133"/>
      <c r="S1" s="134"/>
      <c r="T1" s="134"/>
    </row>
    <row r="2" spans="1:20" ht="28.2" thickBot="1" x14ac:dyDescent="0.35">
      <c r="A2" s="73" t="s">
        <v>30</v>
      </c>
      <c r="B2" s="73" t="s">
        <v>31</v>
      </c>
      <c r="C2" s="73" t="s">
        <v>32</v>
      </c>
      <c r="D2" s="73" t="s">
        <v>33</v>
      </c>
      <c r="E2" s="73" t="s">
        <v>62</v>
      </c>
      <c r="F2" s="110" t="s">
        <v>84</v>
      </c>
      <c r="G2" s="135" t="s">
        <v>36</v>
      </c>
      <c r="H2" s="135" t="s">
        <v>37</v>
      </c>
      <c r="I2" s="135" t="s">
        <v>34</v>
      </c>
      <c r="J2" s="137" t="s">
        <v>36</v>
      </c>
      <c r="K2" s="137" t="s">
        <v>37</v>
      </c>
      <c r="L2" s="137" t="s">
        <v>34</v>
      </c>
      <c r="M2" s="138" t="s">
        <v>72</v>
      </c>
      <c r="N2" s="138" t="s">
        <v>83</v>
      </c>
      <c r="O2" s="138" t="s">
        <v>74</v>
      </c>
      <c r="P2" s="138" t="s">
        <v>75</v>
      </c>
      <c r="Q2" s="139" t="s">
        <v>72</v>
      </c>
      <c r="R2" s="139" t="s">
        <v>83</v>
      </c>
      <c r="S2" s="139" t="s">
        <v>74</v>
      </c>
      <c r="T2" s="139" t="s">
        <v>75</v>
      </c>
    </row>
    <row r="3" spans="1:20" s="36" customFormat="1" x14ac:dyDescent="0.3">
      <c r="A3" s="74" t="s">
        <v>179</v>
      </c>
      <c r="B3" s="74" t="s">
        <v>182</v>
      </c>
      <c r="C3" s="74" t="s">
        <v>181</v>
      </c>
      <c r="D3" s="74" t="s">
        <v>42</v>
      </c>
      <c r="E3" s="74" t="s">
        <v>42</v>
      </c>
      <c r="F3" s="108">
        <v>12</v>
      </c>
      <c r="G3" s="140">
        <v>13156915.9</v>
      </c>
      <c r="H3" s="140">
        <v>21900.32</v>
      </c>
      <c r="I3" s="140">
        <v>13178816.220000001</v>
      </c>
      <c r="J3" s="140">
        <v>1315692</v>
      </c>
      <c r="K3" s="140">
        <v>2190</v>
      </c>
      <c r="L3" s="140">
        <v>1317882</v>
      </c>
      <c r="M3" s="140">
        <v>408483.6834999987</v>
      </c>
      <c r="N3" s="140">
        <v>3567.84</v>
      </c>
      <c r="O3" s="140">
        <v>0</v>
      </c>
      <c r="P3" s="140">
        <v>0</v>
      </c>
      <c r="Q3" s="140">
        <v>34040</v>
      </c>
      <c r="R3" s="140">
        <v>297</v>
      </c>
      <c r="S3" s="140">
        <v>0</v>
      </c>
      <c r="T3" s="140">
        <v>0</v>
      </c>
    </row>
    <row r="4" spans="1:20" s="36" customFormat="1" x14ac:dyDescent="0.3">
      <c r="F4" s="30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36" customFormat="1" x14ac:dyDescent="0.3">
      <c r="F5" s="30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</sheetData>
  <autoFilter ref="A2:T467" xr:uid="{8C791D5F-77A8-4CF5-94B1-BB24EDB2C8F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0EB8-6DD0-45BB-ABFE-38F3F1D1AB65}">
  <sheetPr codeName="Feuil2"/>
  <dimension ref="A1:C22"/>
  <sheetViews>
    <sheetView showGridLines="0" workbookViewId="0">
      <selection sqref="A1:B1"/>
    </sheetView>
  </sheetViews>
  <sheetFormatPr baseColWidth="10" defaultRowHeight="14.4" x14ac:dyDescent="0.3"/>
  <cols>
    <col min="1" max="1" width="23.33203125" style="36" customWidth="1"/>
    <col min="2" max="2" width="20.109375" style="36" bestFit="1" customWidth="1"/>
    <col min="3" max="3" width="20.6640625" style="36" bestFit="1" customWidth="1"/>
    <col min="4" max="16384" width="11.5546875" style="36"/>
  </cols>
  <sheetData>
    <row r="1" spans="1:3" ht="83.25" customHeight="1" x14ac:dyDescent="0.3">
      <c r="A1" s="160" t="s">
        <v>183</v>
      </c>
      <c r="B1" s="160"/>
    </row>
    <row r="3" spans="1:3" x14ac:dyDescent="0.3">
      <c r="A3" s="69"/>
    </row>
    <row r="4" spans="1:3" ht="15.6" x14ac:dyDescent="0.3">
      <c r="A4" s="66"/>
      <c r="B4" s="67" t="s">
        <v>43</v>
      </c>
      <c r="C4" s="68" t="s">
        <v>42</v>
      </c>
    </row>
    <row r="5" spans="1:3" ht="15.6" x14ac:dyDescent="0.3">
      <c r="A5" s="63"/>
      <c r="B5" s="67" t="s">
        <v>69</v>
      </c>
      <c r="C5" s="68" t="s">
        <v>69</v>
      </c>
    </row>
    <row r="6" spans="1:3" ht="31.2" x14ac:dyDescent="0.3">
      <c r="A6" s="63" t="s">
        <v>44</v>
      </c>
      <c r="B6" s="61">
        <v>5.0870760544132178E-2</v>
      </c>
      <c r="C6" s="62">
        <v>3.9639845009771114E-2</v>
      </c>
    </row>
    <row r="7" spans="1:3" ht="31.2" x14ac:dyDescent="0.3">
      <c r="A7" s="63" t="s">
        <v>45</v>
      </c>
      <c r="B7" s="61">
        <v>5.5446496858182794E-2</v>
      </c>
      <c r="C7" s="62">
        <v>4.4143878499058299E-2</v>
      </c>
    </row>
    <row r="8" spans="1:3" ht="15.6" x14ac:dyDescent="0.3">
      <c r="A8" s="63" t="s">
        <v>46</v>
      </c>
      <c r="B8" s="61">
        <v>5.7227068129768931E-2</v>
      </c>
      <c r="C8" s="62">
        <v>4.5895726713616636E-2</v>
      </c>
    </row>
    <row r="9" spans="1:3" ht="62.4" x14ac:dyDescent="0.3">
      <c r="A9" s="63" t="s">
        <v>70</v>
      </c>
      <c r="B9" s="61">
        <v>5.1466706218796801E-2</v>
      </c>
      <c r="C9" s="62">
        <v>4.0226375096994303E-2</v>
      </c>
    </row>
    <row r="10" spans="1:3" ht="62.4" x14ac:dyDescent="0.3">
      <c r="A10" s="63" t="s">
        <v>71</v>
      </c>
      <c r="B10" s="61">
        <v>5.5613437134976601E-2</v>
      </c>
      <c r="C10" s="62">
        <v>4.43081258001949E-2</v>
      </c>
    </row>
    <row r="11" spans="1:3" ht="15.6" x14ac:dyDescent="0.3">
      <c r="A11" s="64" t="s">
        <v>1</v>
      </c>
      <c r="B11" s="61">
        <v>4.4842163800560102E-2</v>
      </c>
      <c r="C11" s="62">
        <v>3.3704896641288402E-2</v>
      </c>
    </row>
    <row r="12" spans="1:3" ht="15.6" x14ac:dyDescent="0.3">
      <c r="A12" s="64" t="s">
        <v>2</v>
      </c>
      <c r="B12" s="61">
        <v>0</v>
      </c>
      <c r="C12" s="62">
        <v>0</v>
      </c>
    </row>
    <row r="13" spans="1:3" ht="15.6" x14ac:dyDescent="0.3">
      <c r="A13" s="64" t="s">
        <v>3</v>
      </c>
      <c r="B13" s="61">
        <v>4.454969431955972E-2</v>
      </c>
      <c r="C13" s="62">
        <v>3.3404772802957498E-2</v>
      </c>
    </row>
    <row r="14" spans="1:3" ht="15.6" x14ac:dyDescent="0.3">
      <c r="A14" s="64" t="s">
        <v>47</v>
      </c>
      <c r="B14" s="61">
        <v>5.7212800308469543E-2</v>
      </c>
      <c r="C14" s="62">
        <v>4.5881458892317303E-2</v>
      </c>
    </row>
    <row r="15" spans="1:3" ht="15.6" x14ac:dyDescent="0.3">
      <c r="A15" s="64" t="s">
        <v>5</v>
      </c>
      <c r="B15" s="61">
        <v>4.4842163800560102E-2</v>
      </c>
      <c r="C15" s="62">
        <v>3.3704896641288402E-2</v>
      </c>
    </row>
    <row r="16" spans="1:3" ht="15.6" x14ac:dyDescent="0.3">
      <c r="A16" s="64" t="s">
        <v>6</v>
      </c>
      <c r="B16" s="61">
        <v>4.4842163800560129E-2</v>
      </c>
      <c r="C16" s="62">
        <v>3.3704896641288402E-2</v>
      </c>
    </row>
    <row r="17" spans="1:3" ht="15.6" x14ac:dyDescent="0.3">
      <c r="A17" s="65" t="s">
        <v>7</v>
      </c>
      <c r="B17" s="61">
        <v>4.4842163800560129E-2</v>
      </c>
      <c r="C17" s="62">
        <v>3.3704896641288402E-2</v>
      </c>
    </row>
    <row r="18" spans="1:3" ht="15.6" x14ac:dyDescent="0.3">
      <c r="A18" s="65" t="s">
        <v>48</v>
      </c>
      <c r="B18" s="61">
        <v>0</v>
      </c>
      <c r="C18" s="62">
        <v>0</v>
      </c>
    </row>
    <row r="19" spans="1:3" ht="15.6" x14ac:dyDescent="0.3">
      <c r="A19" s="65" t="s">
        <v>49</v>
      </c>
      <c r="B19" s="61">
        <v>4.4842163800560129E-2</v>
      </c>
      <c r="C19" s="62">
        <v>3.3704896641288361E-2</v>
      </c>
    </row>
    <row r="20" spans="1:3" ht="15.6" x14ac:dyDescent="0.3">
      <c r="A20" s="65" t="s">
        <v>50</v>
      </c>
      <c r="B20" s="61">
        <v>0</v>
      </c>
      <c r="C20" s="62">
        <v>0</v>
      </c>
    </row>
    <row r="21" spans="1:3" ht="15.6" x14ac:dyDescent="0.3">
      <c r="A21" s="65" t="s">
        <v>51</v>
      </c>
      <c r="B21" s="61">
        <v>0</v>
      </c>
      <c r="C21" s="62">
        <v>0</v>
      </c>
    </row>
    <row r="22" spans="1:3" ht="15.6" x14ac:dyDescent="0.3">
      <c r="A22" s="65" t="s">
        <v>52</v>
      </c>
      <c r="B22" s="61">
        <v>4.7779661380139005E-2</v>
      </c>
      <c r="C22" s="62">
        <v>3.6641583045306902E-2</v>
      </c>
    </row>
  </sheetData>
  <mergeCells count="1">
    <mergeCell ref="A1:B1"/>
  </mergeCell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FB2CC-EA7A-42A9-BDB9-8D0F34F390D7}">
  <sheetPr codeName="Feuil3"/>
  <dimension ref="A1:F78"/>
  <sheetViews>
    <sheetView showGridLines="0" workbookViewId="0">
      <selection sqref="A1:C1"/>
    </sheetView>
  </sheetViews>
  <sheetFormatPr baseColWidth="10" defaultRowHeight="14.4" x14ac:dyDescent="0.3"/>
  <cols>
    <col min="1" max="1" width="48.6640625" style="42" customWidth="1"/>
    <col min="2" max="2" width="27" style="42" customWidth="1"/>
    <col min="3" max="3" width="24.6640625" style="42" customWidth="1"/>
    <col min="4" max="4" width="11.5546875" style="42"/>
    <col min="5" max="5" width="11.6640625" style="42" bestFit="1" customWidth="1"/>
    <col min="6" max="6" width="14.109375" style="36" bestFit="1" customWidth="1"/>
    <col min="7" max="16384" width="11.5546875" style="36"/>
  </cols>
  <sheetData>
    <row r="1" spans="1:5" ht="15.6" x14ac:dyDescent="0.3">
      <c r="A1" s="169" t="s">
        <v>99</v>
      </c>
      <c r="B1" s="170"/>
      <c r="C1" s="170"/>
      <c r="D1" s="77"/>
      <c r="E1" s="77"/>
    </row>
    <row r="2" spans="1:5" x14ac:dyDescent="0.3">
      <c r="A2" s="34" t="s">
        <v>100</v>
      </c>
      <c r="B2" s="111" t="s">
        <v>180</v>
      </c>
      <c r="C2" s="32"/>
      <c r="D2" s="32"/>
      <c r="E2" s="32"/>
    </row>
    <row r="3" spans="1:5" x14ac:dyDescent="0.3">
      <c r="A3" s="33" t="s">
        <v>32</v>
      </c>
      <c r="B3" s="35" t="str">
        <f>VLOOKUP($B$2,donnees_notification_MCO!$B$3:$AJ$785,2,FALSE)</f>
        <v>raison sociale</v>
      </c>
      <c r="C3" s="39"/>
      <c r="D3" s="32"/>
      <c r="E3" s="32"/>
    </row>
    <row r="4" spans="1:5" x14ac:dyDescent="0.3">
      <c r="A4" s="40"/>
      <c r="B4" s="41"/>
    </row>
    <row r="5" spans="1:5" x14ac:dyDescent="0.3">
      <c r="A5" s="40"/>
      <c r="B5" s="41"/>
    </row>
    <row r="6" spans="1:5" ht="15" x14ac:dyDescent="0.3">
      <c r="A6" s="43" t="s">
        <v>175</v>
      </c>
    </row>
    <row r="7" spans="1:5" x14ac:dyDescent="0.3">
      <c r="A7" s="44" t="s">
        <v>112</v>
      </c>
    </row>
    <row r="8" spans="1:5" ht="15" thickBot="1" x14ac:dyDescent="0.35"/>
    <row r="9" spans="1:5" ht="15" thickBot="1" x14ac:dyDescent="0.35">
      <c r="A9" s="45" t="s">
        <v>101</v>
      </c>
      <c r="B9" s="54" t="str">
        <f>$B$3</f>
        <v>raison sociale</v>
      </c>
    </row>
    <row r="10" spans="1:5" ht="15" thickBot="1" x14ac:dyDescent="0.35">
      <c r="A10" s="47" t="s">
        <v>102</v>
      </c>
      <c r="B10" s="48" t="str">
        <f>$B$2</f>
        <v>test_mco</v>
      </c>
    </row>
    <row r="11" spans="1:5" ht="25.8" thickBot="1" x14ac:dyDescent="0.35">
      <c r="A11" s="47" t="s">
        <v>113</v>
      </c>
      <c r="B11" s="56">
        <f>B26+B37+B43+B49</f>
        <v>56518870</v>
      </c>
    </row>
    <row r="13" spans="1:5" x14ac:dyDescent="0.3">
      <c r="A13" s="43" t="s">
        <v>114</v>
      </c>
      <c r="B13" s="36"/>
    </row>
    <row r="14" spans="1:5" ht="15" thickBot="1" x14ac:dyDescent="0.35">
      <c r="A14" s="44"/>
      <c r="B14" s="36"/>
    </row>
    <row r="15" spans="1:5" ht="15" thickBot="1" x14ac:dyDescent="0.35">
      <c r="A15" s="45" t="s">
        <v>101</v>
      </c>
      <c r="B15" s="54" t="str">
        <f>$B$3</f>
        <v>raison sociale</v>
      </c>
    </row>
    <row r="16" spans="1:5" ht="15" thickBot="1" x14ac:dyDescent="0.35">
      <c r="A16" s="47" t="s">
        <v>102</v>
      </c>
      <c r="B16" s="48" t="str">
        <f>$B$2</f>
        <v>test_mco</v>
      </c>
    </row>
    <row r="17" spans="1:6" ht="48.6" thickBot="1" x14ac:dyDescent="0.35">
      <c r="A17" s="75" t="s">
        <v>104</v>
      </c>
      <c r="B17" s="157">
        <f>VLOOKUP($B$2,donnees_notification_MCO!$B$3:$BV$1000,24,FALSE)</f>
        <v>3516504</v>
      </c>
    </row>
    <row r="18" spans="1:6" x14ac:dyDescent="0.3">
      <c r="A18" s="44"/>
      <c r="B18" s="36"/>
    </row>
    <row r="19" spans="1:6" x14ac:dyDescent="0.3">
      <c r="A19" s="43" t="s">
        <v>115</v>
      </c>
      <c r="B19" s="36"/>
    </row>
    <row r="21" spans="1:6" x14ac:dyDescent="0.3">
      <c r="A21" s="43" t="s">
        <v>116</v>
      </c>
      <c r="B21" s="36"/>
      <c r="C21" s="36"/>
    </row>
    <row r="22" spans="1:6" x14ac:dyDescent="0.3">
      <c r="A22" s="43"/>
      <c r="B22" s="36"/>
      <c r="C22" s="36"/>
    </row>
    <row r="23" spans="1:6" ht="99.6" x14ac:dyDescent="0.3">
      <c r="A23" s="53" t="s">
        <v>117</v>
      </c>
      <c r="B23" s="36"/>
      <c r="C23" s="36"/>
      <c r="F23" s="57"/>
    </row>
    <row r="24" spans="1:6" ht="15" thickBot="1" x14ac:dyDescent="0.35">
      <c r="A24" s="49"/>
      <c r="B24" s="36"/>
      <c r="C24" s="36"/>
    </row>
    <row r="25" spans="1:6" ht="25.8" thickBot="1" x14ac:dyDescent="0.35">
      <c r="A25" s="45" t="s">
        <v>103</v>
      </c>
      <c r="B25" s="46" t="s">
        <v>118</v>
      </c>
      <c r="C25" s="46" t="s">
        <v>119</v>
      </c>
    </row>
    <row r="26" spans="1:6" ht="60" customHeight="1" thickBot="1" x14ac:dyDescent="0.35">
      <c r="A26" s="75" t="s">
        <v>120</v>
      </c>
      <c r="B26" s="158">
        <f>B27+B29</f>
        <v>56444274</v>
      </c>
      <c r="C26" s="158">
        <f>C27+C29</f>
        <v>9693803.5</v>
      </c>
    </row>
    <row r="27" spans="1:6" x14ac:dyDescent="0.3">
      <c r="A27" s="165" t="s">
        <v>121</v>
      </c>
      <c r="B27" s="167">
        <f>VLOOKUP($B$2,donnees_notification_MCO!$B$3:$BV$1000,4,FALSE)+VLOOKUP($B$2,donnees_notification_MCO!$B$3:$BV$1000,5,FALSE)+VLOOKUP($B$2,donnees_notification_MCO!$B$3:$BV$1000,7,FALSE)</f>
        <v>54216618</v>
      </c>
      <c r="C27" s="167">
        <f>VLOOKUP($B$2,donnees_notification_MCO!$B$3:$BV$1000,25,FALSE)+VLOOKUP($B$2,donnees_notification_MCO!$B$3:$BV$1000,26,FALSE)+VLOOKUP($B$2,donnees_notification_MCO!$B$3:$BV$1000,28,FALSE)</f>
        <v>9317657</v>
      </c>
    </row>
    <row r="28" spans="1:6" ht="21.6" customHeight="1" thickBot="1" x14ac:dyDescent="0.35">
      <c r="A28" s="166"/>
      <c r="B28" s="168" t="e">
        <v>#N/A</v>
      </c>
      <c r="C28" s="168" t="e">
        <v>#N/A</v>
      </c>
    </row>
    <row r="29" spans="1:6" ht="45" customHeight="1" x14ac:dyDescent="0.3">
      <c r="A29" s="161" t="s">
        <v>184</v>
      </c>
      <c r="B29" s="167">
        <f>VLOOKUP($B$2,donnees_notification_MCO!$B$3:$BV$1000,6,FALSE)+VLOOKUP($B$2,donnees_notification_MCO!$B$3:$BV$1000,8,FALSE)+VLOOKUP($B$2,donnees_notification_MCO!$B$3:$BV$1000,9,FALSE)+VLOOKUP($B$2,donnees_notification_MCO!$B$3:$BV$1000,10,FALSE)+VLOOKUP($B$2,donnees_notification_MCO!$B$3:$BV$1000,11,FALSE)+VLOOKUP($B$2,donnees_notification_MCO!$B$3:$BV$1000,12,FALSE)</f>
        <v>2227656</v>
      </c>
      <c r="C29" s="167">
        <f>VLOOKUP($B$2,donnees_notification_MCO!$B$3:$BV$1000,27,FALSE)+VLOOKUP($B$2,donnees_notification_MCO!$B$3:$BV$1000,29,FALSE)+VLOOKUP($B$2,donnees_notification_MCO!$B$3:$BV$1000,30,FALSE)+VLOOKUP($B$2,donnees_notification_MCO!$B$3:$BV$1000,31,FALSE)+VLOOKUP($B$2,donnees_notification_MCO!$B$3:$BV$1000,32,FALSE)+VLOOKUP($B$2,donnees_notification_MCO!$B$3:$BV$1000,33,FALSE)+VLOOKUP($B$2,donnees_notification_MCO!$B$3:$BV$1000,34,FALSE)+VLOOKUP($B$2,donnees_notification_MCO!$B$3:$BV$1000,35,FALSE)</f>
        <v>376146.5</v>
      </c>
      <c r="F29" s="57"/>
    </row>
    <row r="30" spans="1:6" ht="15" thickBot="1" x14ac:dyDescent="0.35">
      <c r="A30" s="162"/>
      <c r="B30" s="168" t="e">
        <v>#N/A</v>
      </c>
      <c r="C30" s="168" t="e">
        <v>#N/A</v>
      </c>
    </row>
    <row r="31" spans="1:6" ht="15" x14ac:dyDescent="0.3">
      <c r="A31" s="51" t="s">
        <v>122</v>
      </c>
      <c r="B31" s="36"/>
      <c r="C31" s="36"/>
    </row>
    <row r="32" spans="1:6" x14ac:dyDescent="0.3">
      <c r="A32" s="43"/>
      <c r="B32" s="36"/>
      <c r="C32" s="36"/>
    </row>
    <row r="33" spans="1:3" x14ac:dyDescent="0.3">
      <c r="A33" s="43" t="s">
        <v>123</v>
      </c>
      <c r="B33" s="36"/>
      <c r="C33" s="36"/>
    </row>
    <row r="34" spans="1:3" x14ac:dyDescent="0.3">
      <c r="A34" s="43" t="s">
        <v>124</v>
      </c>
      <c r="B34" s="36"/>
      <c r="C34" s="36"/>
    </row>
    <row r="35" spans="1:3" ht="15" thickBot="1" x14ac:dyDescent="0.35">
      <c r="A35" s="49"/>
      <c r="B35" s="36"/>
      <c r="C35" s="36"/>
    </row>
    <row r="36" spans="1:3" ht="25.8" thickBot="1" x14ac:dyDescent="0.35">
      <c r="A36" s="45" t="s">
        <v>103</v>
      </c>
      <c r="B36" s="46" t="s">
        <v>125</v>
      </c>
      <c r="C36" s="46" t="s">
        <v>126</v>
      </c>
    </row>
    <row r="37" spans="1:3" ht="36.6" thickBot="1" x14ac:dyDescent="0.35">
      <c r="A37" s="75" t="s">
        <v>127</v>
      </c>
      <c r="B37" s="157">
        <f>VLOOKUP($B$2,donnees_notification_MCO!$B$3:$BV$1000,15,FALSE)</f>
        <v>67670</v>
      </c>
      <c r="C37" s="157">
        <f>VLOOKUP($B$2,donnees_notification_MCO!$B$3:$BV$1000,36,FALSE)</f>
        <v>11425</v>
      </c>
    </row>
    <row r="38" spans="1:3" x14ac:dyDescent="0.3">
      <c r="A38" s="52" t="s">
        <v>128</v>
      </c>
      <c r="B38" s="36"/>
      <c r="C38" s="36"/>
    </row>
    <row r="39" spans="1:3" x14ac:dyDescent="0.3">
      <c r="A39" s="43"/>
      <c r="B39" s="36"/>
      <c r="C39" s="36"/>
    </row>
    <row r="40" spans="1:3" x14ac:dyDescent="0.3">
      <c r="A40" s="43" t="s">
        <v>129</v>
      </c>
      <c r="B40" s="36"/>
      <c r="C40" s="36"/>
    </row>
    <row r="41" spans="1:3" ht="15" thickBot="1" x14ac:dyDescent="0.35">
      <c r="A41" s="43"/>
      <c r="B41" s="36"/>
      <c r="C41" s="36"/>
    </row>
    <row r="42" spans="1:3" ht="25.8" thickBot="1" x14ac:dyDescent="0.35">
      <c r="A42" s="45" t="s">
        <v>103</v>
      </c>
      <c r="B42" s="46" t="s">
        <v>125</v>
      </c>
      <c r="C42" s="46" t="s">
        <v>130</v>
      </c>
    </row>
    <row r="43" spans="1:3" ht="36.6" thickBot="1" x14ac:dyDescent="0.35">
      <c r="A43" s="75" t="s">
        <v>105</v>
      </c>
      <c r="B43" s="157">
        <f>VLOOKUP($B$2,donnees_notification_MCO!$B$3:$BV$1000,16,FALSE)</f>
        <v>0</v>
      </c>
      <c r="C43" s="157">
        <f>VLOOKUP($B$2,donnees_notification_MCO!$B$3:$BV$1000,37,FALSE)</f>
        <v>0</v>
      </c>
    </row>
    <row r="44" spans="1:3" x14ac:dyDescent="0.3">
      <c r="A44" s="52" t="s">
        <v>128</v>
      </c>
      <c r="B44" s="36"/>
      <c r="C44" s="36"/>
    </row>
    <row r="45" spans="1:3" x14ac:dyDescent="0.3">
      <c r="A45" s="43"/>
      <c r="B45" s="36"/>
      <c r="C45" s="36"/>
    </row>
    <row r="46" spans="1:3" x14ac:dyDescent="0.3">
      <c r="A46" s="43" t="s">
        <v>131</v>
      </c>
      <c r="B46" s="36"/>
      <c r="C46" s="36"/>
    </row>
    <row r="47" spans="1:3" ht="15" thickBot="1" x14ac:dyDescent="0.35">
      <c r="A47" s="49"/>
      <c r="B47" s="36"/>
      <c r="C47" s="36"/>
    </row>
    <row r="48" spans="1:3" ht="25.8" thickBot="1" x14ac:dyDescent="0.35">
      <c r="A48" s="45" t="s">
        <v>103</v>
      </c>
      <c r="B48" s="46" t="s">
        <v>125</v>
      </c>
      <c r="C48" s="46" t="s">
        <v>132</v>
      </c>
    </row>
    <row r="49" spans="1:3" ht="36.6" thickBot="1" x14ac:dyDescent="0.35">
      <c r="A49" s="75" t="s">
        <v>133</v>
      </c>
      <c r="B49" s="55">
        <f>B50+B51</f>
        <v>6926</v>
      </c>
      <c r="C49" s="55">
        <f>C50+C51</f>
        <v>1263</v>
      </c>
    </row>
    <row r="50" spans="1:3" ht="15" thickBot="1" x14ac:dyDescent="0.35">
      <c r="A50" s="75" t="s">
        <v>106</v>
      </c>
      <c r="B50" s="157">
        <f>VLOOKUP($B$2,donnees_notification_MCO!$B$3:$BV$1000,17,FALSE)</f>
        <v>6358</v>
      </c>
      <c r="C50" s="157">
        <f>VLOOKUP($B$2,donnees_notification_MCO!$B$3:$BV$1000,38,FALSE)</f>
        <v>1168</v>
      </c>
    </row>
    <row r="51" spans="1:3" ht="15" thickBot="1" x14ac:dyDescent="0.35">
      <c r="A51" s="75" t="s">
        <v>107</v>
      </c>
      <c r="B51" s="157">
        <f>VLOOKUP($B$2,donnees_notification_MCO!$B$3:$BV$1000,18,FALSE)</f>
        <v>568</v>
      </c>
      <c r="C51" s="157">
        <f>VLOOKUP($B$2,donnees_notification_MCO!$B$3:$BV$1000,39,FALSE)</f>
        <v>95</v>
      </c>
    </row>
    <row r="52" spans="1:3" x14ac:dyDescent="0.3">
      <c r="A52" s="52" t="s">
        <v>128</v>
      </c>
      <c r="B52" s="36"/>
      <c r="C52" s="36"/>
    </row>
    <row r="53" spans="1:3" x14ac:dyDescent="0.3">
      <c r="A53" s="44"/>
      <c r="B53" s="36"/>
      <c r="C53" s="36"/>
    </row>
    <row r="54" spans="1:3" x14ac:dyDescent="0.3">
      <c r="A54" s="43" t="s">
        <v>138</v>
      </c>
      <c r="B54" s="36"/>
      <c r="C54" s="36"/>
    </row>
    <row r="55" spans="1:3" ht="15" thickBot="1" x14ac:dyDescent="0.35">
      <c r="A55" s="44"/>
      <c r="B55" s="36"/>
      <c r="C55" s="36"/>
    </row>
    <row r="56" spans="1:3" ht="15.6" thickBot="1" x14ac:dyDescent="0.35">
      <c r="A56" s="45" t="s">
        <v>103</v>
      </c>
      <c r="B56" s="46" t="s">
        <v>132</v>
      </c>
      <c r="C56" s="36"/>
    </row>
    <row r="57" spans="1:3" ht="38.4" thickBot="1" x14ac:dyDescent="0.35">
      <c r="A57" s="50" t="s">
        <v>108</v>
      </c>
      <c r="B57" s="158">
        <f>B58+B60+B62</f>
        <v>1558447</v>
      </c>
      <c r="C57" s="57"/>
    </row>
    <row r="58" spans="1:3" x14ac:dyDescent="0.3">
      <c r="A58" s="165" t="s">
        <v>134</v>
      </c>
      <c r="B58" s="163">
        <f>VLOOKUP($B$2,donnees_notification_MCO!$B$3:$BV$1000,42,FALSE)+VLOOKUP($B$2,donnees_notification_MCO!$B$3:$BV$1000,45,FALSE)</f>
        <v>1199896</v>
      </c>
      <c r="C58" s="36"/>
    </row>
    <row r="59" spans="1:3" ht="15" thickBot="1" x14ac:dyDescent="0.35">
      <c r="A59" s="166"/>
      <c r="B59" s="164" t="e">
        <v>#N/A</v>
      </c>
      <c r="C59" s="36"/>
    </row>
    <row r="60" spans="1:3" x14ac:dyDescent="0.3">
      <c r="A60" s="161" t="s">
        <v>135</v>
      </c>
      <c r="B60" s="163">
        <f>VLOOKUP($B$2,donnees_notification_MCO!$B$3:$BV$1000,43,FALSE)</f>
        <v>92089</v>
      </c>
      <c r="C60" s="36"/>
    </row>
    <row r="61" spans="1:3" ht="15" thickBot="1" x14ac:dyDescent="0.35">
      <c r="A61" s="162"/>
      <c r="B61" s="164" t="e">
        <v>#N/A</v>
      </c>
      <c r="C61" s="36"/>
    </row>
    <row r="62" spans="1:3" x14ac:dyDescent="0.3">
      <c r="A62" s="161" t="s">
        <v>136</v>
      </c>
      <c r="B62" s="163">
        <f>VLOOKUP($B$2,donnees_notification_MCO!$B$3:$BV$1000,41,FALSE)+VLOOKUP($B$2,donnees_notification_MCO!$B$3:$BV$1000,44,FALSE)</f>
        <v>266462</v>
      </c>
      <c r="C62" s="36"/>
    </row>
    <row r="63" spans="1:3" ht="15" thickBot="1" x14ac:dyDescent="0.35">
      <c r="A63" s="162"/>
      <c r="B63" s="164" t="e">
        <v>#N/A</v>
      </c>
      <c r="C63" s="36"/>
    </row>
    <row r="64" spans="1:3" ht="38.4" thickBot="1" x14ac:dyDescent="0.35">
      <c r="A64" s="50" t="s">
        <v>110</v>
      </c>
      <c r="B64" s="158">
        <f>B65+B67+B69</f>
        <v>633</v>
      </c>
      <c r="C64" s="36"/>
    </row>
    <row r="65" spans="1:3" x14ac:dyDescent="0.3">
      <c r="A65" s="165" t="s">
        <v>109</v>
      </c>
      <c r="B65" s="163">
        <f>VLOOKUP($B$2,donnees_notification_MCO!$B$3:$BV$1000,47,FALSE)</f>
        <v>443</v>
      </c>
      <c r="C65" s="36"/>
    </row>
    <row r="66" spans="1:3" ht="15" thickBot="1" x14ac:dyDescent="0.35">
      <c r="A66" s="166"/>
      <c r="B66" s="164" t="e">
        <v>#N/A</v>
      </c>
      <c r="C66" s="36"/>
    </row>
    <row r="67" spans="1:3" x14ac:dyDescent="0.3">
      <c r="A67" s="161" t="s">
        <v>135</v>
      </c>
      <c r="B67" s="163">
        <f>VLOOKUP($B$2,donnees_notification_MCO!$B$3:$BV$1000,48,FALSE)</f>
        <v>0</v>
      </c>
      <c r="C67" s="36"/>
    </row>
    <row r="68" spans="1:3" ht="15" thickBot="1" x14ac:dyDescent="0.35">
      <c r="A68" s="162"/>
      <c r="B68" s="164" t="e">
        <v>#N/A</v>
      </c>
      <c r="C68" s="36"/>
    </row>
    <row r="69" spans="1:3" x14ac:dyDescent="0.3">
      <c r="A69" s="161" t="s">
        <v>137</v>
      </c>
      <c r="B69" s="163">
        <f>VLOOKUP($B$2,donnees_notification_MCO!$B$3:$BV$1000,46,FALSE)</f>
        <v>190</v>
      </c>
      <c r="C69" s="36"/>
    </row>
    <row r="70" spans="1:3" ht="15" thickBot="1" x14ac:dyDescent="0.35">
      <c r="A70" s="162"/>
      <c r="B70" s="164" t="e">
        <v>#N/A</v>
      </c>
      <c r="C70" s="36"/>
    </row>
    <row r="71" spans="1:3" ht="38.4" thickBot="1" x14ac:dyDescent="0.35">
      <c r="A71" s="50" t="s">
        <v>111</v>
      </c>
      <c r="B71" s="158">
        <f>B72+B74+B76</f>
        <v>0</v>
      </c>
      <c r="C71" s="36"/>
    </row>
    <row r="72" spans="1:3" x14ac:dyDescent="0.3">
      <c r="A72" s="165" t="s">
        <v>109</v>
      </c>
      <c r="B72" s="163">
        <f>VLOOKUP($B$2,donnees_notification_MCO!$B$3:$BV$1000,50,FALSE)</f>
        <v>0</v>
      </c>
      <c r="C72" s="36"/>
    </row>
    <row r="73" spans="1:3" ht="15" thickBot="1" x14ac:dyDescent="0.35">
      <c r="A73" s="166"/>
      <c r="B73" s="164" t="e">
        <v>#N/A</v>
      </c>
      <c r="C73" s="36"/>
    </row>
    <row r="74" spans="1:3" x14ac:dyDescent="0.3">
      <c r="A74" s="161" t="s">
        <v>135</v>
      </c>
      <c r="B74" s="163">
        <f>VLOOKUP($B$2,donnees_notification_MCO!$B$3:$BV$1000,51,FALSE)</f>
        <v>0</v>
      </c>
      <c r="C74" s="36"/>
    </row>
    <row r="75" spans="1:3" ht="15" thickBot="1" x14ac:dyDescent="0.35">
      <c r="A75" s="162"/>
      <c r="B75" s="164" t="e">
        <v>#N/A</v>
      </c>
      <c r="C75" s="36"/>
    </row>
    <row r="76" spans="1:3" x14ac:dyDescent="0.3">
      <c r="A76" s="161" t="s">
        <v>137</v>
      </c>
      <c r="B76" s="163">
        <f>VLOOKUP($B$2,donnees_notification_MCO!$B$3:$BV$1000,49,FALSE)</f>
        <v>0</v>
      </c>
      <c r="C76" s="36"/>
    </row>
    <row r="77" spans="1:3" ht="15" thickBot="1" x14ac:dyDescent="0.35">
      <c r="A77" s="162"/>
      <c r="B77" s="164" t="e">
        <v>#N/A</v>
      </c>
      <c r="C77" s="36"/>
    </row>
    <row r="78" spans="1:3" x14ac:dyDescent="0.3">
      <c r="A78" s="52" t="s">
        <v>128</v>
      </c>
      <c r="B78" s="36"/>
      <c r="C78" s="36"/>
    </row>
  </sheetData>
  <mergeCells count="25">
    <mergeCell ref="A1:C1"/>
    <mergeCell ref="A76:A77"/>
    <mergeCell ref="B76:B77"/>
    <mergeCell ref="A67:A68"/>
    <mergeCell ref="B67:B68"/>
    <mergeCell ref="A69:A70"/>
    <mergeCell ref="B69:B70"/>
    <mergeCell ref="A72:A73"/>
    <mergeCell ref="B72:B73"/>
    <mergeCell ref="A58:A59"/>
    <mergeCell ref="B58:B59"/>
    <mergeCell ref="C29:C30"/>
    <mergeCell ref="A74:A75"/>
    <mergeCell ref="B74:B75"/>
    <mergeCell ref="A27:A28"/>
    <mergeCell ref="B27:B28"/>
    <mergeCell ref="A62:A63"/>
    <mergeCell ref="B62:B63"/>
    <mergeCell ref="A65:A66"/>
    <mergeCell ref="B65:B66"/>
    <mergeCell ref="C27:C28"/>
    <mergeCell ref="A29:A30"/>
    <mergeCell ref="B29:B30"/>
    <mergeCell ref="A60:A61"/>
    <mergeCell ref="B60:B61"/>
  </mergeCells>
  <pageMargins left="0.7" right="0.7" top="0.75" bottom="0.75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22B728-2134-43FF-BF0E-1EF7A32D7E5B}">
          <x14:formula1>
            <xm:f>donnees_notification_MCO!$B3:$B1000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62F0-5324-42A4-9131-56EAA0D2407E}">
  <sheetPr codeName="Feuil4"/>
  <dimension ref="A1:C37"/>
  <sheetViews>
    <sheetView showGridLines="0" workbookViewId="0">
      <selection activeCell="C43" sqref="C43"/>
    </sheetView>
  </sheetViews>
  <sheetFormatPr baseColWidth="10" defaultRowHeight="14.4" x14ac:dyDescent="0.3"/>
  <cols>
    <col min="1" max="1" width="60.33203125" style="36" customWidth="1"/>
    <col min="2" max="2" width="18.88671875" style="36" customWidth="1"/>
    <col min="3" max="3" width="26.109375" style="36" customWidth="1"/>
    <col min="4" max="16384" width="11.5546875" style="36"/>
  </cols>
  <sheetData>
    <row r="1" spans="1:3" ht="15.6" x14ac:dyDescent="0.3">
      <c r="A1" s="169" t="s">
        <v>99</v>
      </c>
      <c r="B1" s="170"/>
      <c r="C1" s="170"/>
    </row>
    <row r="2" spans="1:3" x14ac:dyDescent="0.3">
      <c r="A2" s="34" t="s">
        <v>100</v>
      </c>
      <c r="B2" s="112" t="s">
        <v>182</v>
      </c>
      <c r="C2" s="32"/>
    </row>
    <row r="3" spans="1:3" x14ac:dyDescent="0.3">
      <c r="A3" s="33" t="s">
        <v>32</v>
      </c>
      <c r="B3" s="35" t="str">
        <f>VLOOKUP($B$2,donnees_notification_HAD!$B$3:$AL$785,2,FALSE)</f>
        <v>raison sociale</v>
      </c>
      <c r="C3" s="39"/>
    </row>
    <row r="4" spans="1:3" x14ac:dyDescent="0.3">
      <c r="A4" s="40"/>
      <c r="B4" s="41"/>
      <c r="C4" s="42"/>
    </row>
    <row r="5" spans="1:3" ht="15" x14ac:dyDescent="0.3">
      <c r="A5" s="43" t="s">
        <v>176</v>
      </c>
    </row>
    <row r="6" spans="1:3" x14ac:dyDescent="0.3">
      <c r="A6" s="43"/>
    </row>
    <row r="7" spans="1:3" x14ac:dyDescent="0.3">
      <c r="A7" s="44" t="s">
        <v>139</v>
      </c>
    </row>
    <row r="8" spans="1:3" ht="15" thickBot="1" x14ac:dyDescent="0.35">
      <c r="A8" s="44"/>
    </row>
    <row r="9" spans="1:3" ht="15" thickBot="1" x14ac:dyDescent="0.35">
      <c r="A9" s="45" t="s">
        <v>101</v>
      </c>
      <c r="B9" s="54" t="str">
        <f>$B$3</f>
        <v>raison sociale</v>
      </c>
    </row>
    <row r="10" spans="1:3" ht="15" thickBot="1" x14ac:dyDescent="0.35">
      <c r="A10" s="47" t="s">
        <v>102</v>
      </c>
      <c r="B10" s="48" t="str">
        <f>$B$2</f>
        <v>test_had</v>
      </c>
    </row>
    <row r="11" spans="1:3" ht="25.8" thickBot="1" x14ac:dyDescent="0.35">
      <c r="A11" s="47" t="s">
        <v>113</v>
      </c>
      <c r="B11" s="56">
        <f>B18+B25</f>
        <v>8196696</v>
      </c>
    </row>
    <row r="12" spans="1:3" x14ac:dyDescent="0.3">
      <c r="A12" s="43"/>
    </row>
    <row r="13" spans="1:3" x14ac:dyDescent="0.3">
      <c r="A13" s="43" t="s">
        <v>116</v>
      </c>
    </row>
    <row r="14" spans="1:3" x14ac:dyDescent="0.3">
      <c r="A14" s="43"/>
    </row>
    <row r="15" spans="1:3" ht="75" x14ac:dyDescent="0.3">
      <c r="A15" s="53" t="s">
        <v>140</v>
      </c>
    </row>
    <row r="16" spans="1:3" ht="15" thickBot="1" x14ac:dyDescent="0.35">
      <c r="A16" s="49"/>
    </row>
    <row r="17" spans="1:3" ht="38.4" thickBot="1" x14ac:dyDescent="0.35">
      <c r="A17" s="45" t="s">
        <v>103</v>
      </c>
      <c r="B17" s="46" t="s">
        <v>118</v>
      </c>
      <c r="C17" s="46" t="s">
        <v>119</v>
      </c>
    </row>
    <row r="18" spans="1:3" ht="25.2" thickBot="1" x14ac:dyDescent="0.35">
      <c r="A18" s="75" t="s">
        <v>204</v>
      </c>
      <c r="B18" s="158">
        <f>VLOOKUP($B$2,donnees_notification_HAD!$B$3:$BZ$999,4,FALSE)</f>
        <v>8183076</v>
      </c>
      <c r="C18" s="158">
        <f>VLOOKUP($B$2,donnees_notification_HAD!$B$3:$BZ$999,7,FALSE)</f>
        <v>1387923</v>
      </c>
    </row>
    <row r="19" spans="1:3" x14ac:dyDescent="0.3">
      <c r="A19" s="52" t="s">
        <v>128</v>
      </c>
    </row>
    <row r="20" spans="1:3" x14ac:dyDescent="0.3">
      <c r="A20" s="43"/>
    </row>
    <row r="21" spans="1:3" x14ac:dyDescent="0.3">
      <c r="A21" s="43" t="s">
        <v>123</v>
      </c>
    </row>
    <row r="22" spans="1:3" x14ac:dyDescent="0.3">
      <c r="A22" s="43" t="s">
        <v>124</v>
      </c>
    </row>
    <row r="23" spans="1:3" ht="15" thickBot="1" x14ac:dyDescent="0.35">
      <c r="A23" s="49"/>
    </row>
    <row r="24" spans="1:3" ht="38.4" thickBot="1" x14ac:dyDescent="0.35">
      <c r="A24" s="45" t="s">
        <v>103</v>
      </c>
      <c r="B24" s="46" t="s">
        <v>125</v>
      </c>
      <c r="C24" s="46" t="s">
        <v>126</v>
      </c>
    </row>
    <row r="25" spans="1:3" ht="49.2" customHeight="1" thickBot="1" x14ac:dyDescent="0.35">
      <c r="A25" s="75" t="s">
        <v>205</v>
      </c>
      <c r="B25" s="158">
        <f>VLOOKUP($B$2,donnees_notification_HAD!$B$3:$BZ$999,5,FALSE)</f>
        <v>13620</v>
      </c>
      <c r="C25" s="158">
        <f>VLOOKUP($B$2,donnees_notification_HAD!$B$3:$BZ$999,8,FALSE)</f>
        <v>2310</v>
      </c>
    </row>
    <row r="26" spans="1:3" x14ac:dyDescent="0.3">
      <c r="A26" s="52" t="s">
        <v>128</v>
      </c>
    </row>
    <row r="27" spans="1:3" x14ac:dyDescent="0.3">
      <c r="A27" s="43"/>
    </row>
    <row r="28" spans="1:3" x14ac:dyDescent="0.3">
      <c r="A28" s="43" t="s">
        <v>141</v>
      </c>
    </row>
    <row r="29" spans="1:3" ht="15" thickBot="1" x14ac:dyDescent="0.35">
      <c r="A29" s="44"/>
    </row>
    <row r="30" spans="1:3" ht="15.6" thickBot="1" x14ac:dyDescent="0.35">
      <c r="A30" s="45" t="s">
        <v>103</v>
      </c>
      <c r="B30" s="46" t="s">
        <v>132</v>
      </c>
    </row>
    <row r="31" spans="1:3" ht="25.8" thickBot="1" x14ac:dyDescent="0.35">
      <c r="A31" s="50" t="s">
        <v>142</v>
      </c>
      <c r="B31" s="55">
        <f>B32+B33</f>
        <v>34337</v>
      </c>
    </row>
    <row r="32" spans="1:3" ht="15" thickBot="1" x14ac:dyDescent="0.35">
      <c r="A32" s="76" t="s">
        <v>109</v>
      </c>
      <c r="B32" s="159">
        <f>VLOOKUP($B$2,donnees_notification_HAD!$B$3:$BZ$999,10,FALSE)</f>
        <v>34040</v>
      </c>
    </row>
    <row r="33" spans="1:2" ht="24.6" thickBot="1" x14ac:dyDescent="0.35">
      <c r="A33" s="75" t="s">
        <v>135</v>
      </c>
      <c r="B33" s="159">
        <f>VLOOKUP($B$2,donnees_notification_HAD!$B$3:$BZ$999,11,FALSE)</f>
        <v>297</v>
      </c>
    </row>
    <row r="34" spans="1:2" ht="25.8" thickBot="1" x14ac:dyDescent="0.35">
      <c r="A34" s="50" t="s">
        <v>143</v>
      </c>
      <c r="B34" s="55">
        <f>B35+B36</f>
        <v>0</v>
      </c>
    </row>
    <row r="35" spans="1:2" ht="15" thickBot="1" x14ac:dyDescent="0.35">
      <c r="A35" s="76" t="s">
        <v>109</v>
      </c>
      <c r="B35" s="159">
        <f>VLOOKUP($B$2,donnees_notification_HAD!$B$3:$BZ$999,12,FALSE)</f>
        <v>0</v>
      </c>
    </row>
    <row r="36" spans="1:2" ht="24.6" thickBot="1" x14ac:dyDescent="0.35">
      <c r="A36" s="75" t="s">
        <v>135</v>
      </c>
      <c r="B36" s="159">
        <f>VLOOKUP($B$2,donnees_notification_HAD!$B$3:$BZ$999,13,FALSE)</f>
        <v>0</v>
      </c>
    </row>
    <row r="37" spans="1:2" x14ac:dyDescent="0.3">
      <c r="A37" s="52" t="s">
        <v>128</v>
      </c>
    </row>
  </sheetData>
  <mergeCells count="1">
    <mergeCell ref="A1:C1"/>
  </mergeCells>
  <pageMargins left="0.7" right="0.7" top="0.75" bottom="0.75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3FE4BA-B87F-479B-8089-8A9621E5AC2F}">
          <x14:formula1>
            <xm:f>donnees_notification_HAD!$B3:$B1000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3732-AD75-49AE-9E68-44FD91C94A8C}">
  <sheetPr codeName="Feuil7"/>
  <dimension ref="B1:O66"/>
  <sheetViews>
    <sheetView showGridLines="0" zoomScaleNormal="100" workbookViewId="0">
      <selection activeCell="B1" sqref="B1"/>
    </sheetView>
  </sheetViews>
  <sheetFormatPr baseColWidth="10" defaultRowHeight="13.2" x14ac:dyDescent="0.25"/>
  <cols>
    <col min="1" max="1" width="1.88671875" style="81" customWidth="1"/>
    <col min="2" max="2" width="60.6640625" style="81" customWidth="1"/>
    <col min="3" max="3" width="18.33203125" style="81" customWidth="1"/>
    <col min="4" max="4" width="18.6640625" style="81" customWidth="1"/>
    <col min="5" max="5" width="21.88671875" style="81" bestFit="1" customWidth="1"/>
    <col min="6" max="6" width="18.88671875" style="81" customWidth="1"/>
    <col min="7" max="7" width="20.6640625" style="81" customWidth="1"/>
    <col min="8" max="8" width="17.6640625" style="81" customWidth="1"/>
    <col min="9" max="9" width="15.5546875" style="81" customWidth="1"/>
    <col min="10" max="11" width="20.6640625" style="81" customWidth="1"/>
    <col min="12" max="13" width="15.33203125" style="81" customWidth="1"/>
    <col min="14" max="14" width="18" style="81" customWidth="1"/>
    <col min="15" max="15" width="16.88671875" style="81" customWidth="1"/>
    <col min="16" max="229" width="11.5546875" style="81"/>
    <col min="230" max="230" width="47.33203125" style="81" customWidth="1"/>
    <col min="231" max="231" width="23.6640625" style="81" customWidth="1"/>
    <col min="232" max="232" width="21.33203125" style="81" customWidth="1"/>
    <col min="233" max="233" width="17.5546875" style="81" customWidth="1"/>
    <col min="234" max="234" width="16.33203125" style="81" customWidth="1"/>
    <col min="235" max="235" width="19.33203125" style="81" customWidth="1"/>
    <col min="236" max="237" width="15" style="81" bestFit="1" customWidth="1"/>
    <col min="238" max="238" width="11.6640625" style="81" customWidth="1"/>
    <col min="239" max="239" width="15" style="81" bestFit="1" customWidth="1"/>
    <col min="240" max="240" width="16.6640625" style="81" bestFit="1" customWidth="1"/>
    <col min="241" max="242" width="13.33203125" style="81" customWidth="1"/>
    <col min="243" max="243" width="13" style="81" customWidth="1"/>
    <col min="244" max="485" width="11.5546875" style="81"/>
    <col min="486" max="486" width="47.33203125" style="81" customWidth="1"/>
    <col min="487" max="487" width="23.6640625" style="81" customWidth="1"/>
    <col min="488" max="488" width="21.33203125" style="81" customWidth="1"/>
    <col min="489" max="489" width="17.5546875" style="81" customWidth="1"/>
    <col min="490" max="490" width="16.33203125" style="81" customWidth="1"/>
    <col min="491" max="491" width="19.33203125" style="81" customWidth="1"/>
    <col min="492" max="493" width="15" style="81" bestFit="1" customWidth="1"/>
    <col min="494" max="494" width="11.6640625" style="81" customWidth="1"/>
    <col min="495" max="495" width="15" style="81" bestFit="1" customWidth="1"/>
    <col min="496" max="496" width="16.6640625" style="81" bestFit="1" customWidth="1"/>
    <col min="497" max="498" width="13.33203125" style="81" customWidth="1"/>
    <col min="499" max="499" width="13" style="81" customWidth="1"/>
    <col min="500" max="741" width="11.5546875" style="81"/>
    <col min="742" max="742" width="47.33203125" style="81" customWidth="1"/>
    <col min="743" max="743" width="23.6640625" style="81" customWidth="1"/>
    <col min="744" max="744" width="21.33203125" style="81" customWidth="1"/>
    <col min="745" max="745" width="17.5546875" style="81" customWidth="1"/>
    <col min="746" max="746" width="16.33203125" style="81" customWidth="1"/>
    <col min="747" max="747" width="19.33203125" style="81" customWidth="1"/>
    <col min="748" max="749" width="15" style="81" bestFit="1" customWidth="1"/>
    <col min="750" max="750" width="11.6640625" style="81" customWidth="1"/>
    <col min="751" max="751" width="15" style="81" bestFit="1" customWidth="1"/>
    <col min="752" max="752" width="16.6640625" style="81" bestFit="1" customWidth="1"/>
    <col min="753" max="754" width="13.33203125" style="81" customWidth="1"/>
    <col min="755" max="755" width="13" style="81" customWidth="1"/>
    <col min="756" max="997" width="11.5546875" style="81"/>
    <col min="998" max="998" width="47.33203125" style="81" customWidth="1"/>
    <col min="999" max="999" width="23.6640625" style="81" customWidth="1"/>
    <col min="1000" max="1000" width="21.33203125" style="81" customWidth="1"/>
    <col min="1001" max="1001" width="17.5546875" style="81" customWidth="1"/>
    <col min="1002" max="1002" width="16.33203125" style="81" customWidth="1"/>
    <col min="1003" max="1003" width="19.33203125" style="81" customWidth="1"/>
    <col min="1004" max="1005" width="15" style="81" bestFit="1" customWidth="1"/>
    <col min="1006" max="1006" width="11.6640625" style="81" customWidth="1"/>
    <col min="1007" max="1007" width="15" style="81" bestFit="1" customWidth="1"/>
    <col min="1008" max="1008" width="16.6640625" style="81" bestFit="1" customWidth="1"/>
    <col min="1009" max="1010" width="13.33203125" style="81" customWidth="1"/>
    <col min="1011" max="1011" width="13" style="81" customWidth="1"/>
    <col min="1012" max="1253" width="11.5546875" style="81"/>
    <col min="1254" max="1254" width="47.33203125" style="81" customWidth="1"/>
    <col min="1255" max="1255" width="23.6640625" style="81" customWidth="1"/>
    <col min="1256" max="1256" width="21.33203125" style="81" customWidth="1"/>
    <col min="1257" max="1257" width="17.5546875" style="81" customWidth="1"/>
    <col min="1258" max="1258" width="16.33203125" style="81" customWidth="1"/>
    <col min="1259" max="1259" width="19.33203125" style="81" customWidth="1"/>
    <col min="1260" max="1261" width="15" style="81" bestFit="1" customWidth="1"/>
    <col min="1262" max="1262" width="11.6640625" style="81" customWidth="1"/>
    <col min="1263" max="1263" width="15" style="81" bestFit="1" customWidth="1"/>
    <col min="1264" max="1264" width="16.6640625" style="81" bestFit="1" customWidth="1"/>
    <col min="1265" max="1266" width="13.33203125" style="81" customWidth="1"/>
    <col min="1267" max="1267" width="13" style="81" customWidth="1"/>
    <col min="1268" max="1509" width="11.5546875" style="81"/>
    <col min="1510" max="1510" width="47.33203125" style="81" customWidth="1"/>
    <col min="1511" max="1511" width="23.6640625" style="81" customWidth="1"/>
    <col min="1512" max="1512" width="21.33203125" style="81" customWidth="1"/>
    <col min="1513" max="1513" width="17.5546875" style="81" customWidth="1"/>
    <col min="1514" max="1514" width="16.33203125" style="81" customWidth="1"/>
    <col min="1515" max="1515" width="19.33203125" style="81" customWidth="1"/>
    <col min="1516" max="1517" width="15" style="81" bestFit="1" customWidth="1"/>
    <col min="1518" max="1518" width="11.6640625" style="81" customWidth="1"/>
    <col min="1519" max="1519" width="15" style="81" bestFit="1" customWidth="1"/>
    <col min="1520" max="1520" width="16.6640625" style="81" bestFit="1" customWidth="1"/>
    <col min="1521" max="1522" width="13.33203125" style="81" customWidth="1"/>
    <col min="1523" max="1523" width="13" style="81" customWidth="1"/>
    <col min="1524" max="1765" width="11.5546875" style="81"/>
    <col min="1766" max="1766" width="47.33203125" style="81" customWidth="1"/>
    <col min="1767" max="1767" width="23.6640625" style="81" customWidth="1"/>
    <col min="1768" max="1768" width="21.33203125" style="81" customWidth="1"/>
    <col min="1769" max="1769" width="17.5546875" style="81" customWidth="1"/>
    <col min="1770" max="1770" width="16.33203125" style="81" customWidth="1"/>
    <col min="1771" max="1771" width="19.33203125" style="81" customWidth="1"/>
    <col min="1772" max="1773" width="15" style="81" bestFit="1" customWidth="1"/>
    <col min="1774" max="1774" width="11.6640625" style="81" customWidth="1"/>
    <col min="1775" max="1775" width="15" style="81" bestFit="1" customWidth="1"/>
    <col min="1776" max="1776" width="16.6640625" style="81" bestFit="1" customWidth="1"/>
    <col min="1777" max="1778" width="13.33203125" style="81" customWidth="1"/>
    <col min="1779" max="1779" width="13" style="81" customWidth="1"/>
    <col min="1780" max="2021" width="11.5546875" style="81"/>
    <col min="2022" max="2022" width="47.33203125" style="81" customWidth="1"/>
    <col min="2023" max="2023" width="23.6640625" style="81" customWidth="1"/>
    <col min="2024" max="2024" width="21.33203125" style="81" customWidth="1"/>
    <col min="2025" max="2025" width="17.5546875" style="81" customWidth="1"/>
    <col min="2026" max="2026" width="16.33203125" style="81" customWidth="1"/>
    <col min="2027" max="2027" width="19.33203125" style="81" customWidth="1"/>
    <col min="2028" max="2029" width="15" style="81" bestFit="1" customWidth="1"/>
    <col min="2030" max="2030" width="11.6640625" style="81" customWidth="1"/>
    <col min="2031" max="2031" width="15" style="81" bestFit="1" customWidth="1"/>
    <col min="2032" max="2032" width="16.6640625" style="81" bestFit="1" customWidth="1"/>
    <col min="2033" max="2034" width="13.33203125" style="81" customWidth="1"/>
    <col min="2035" max="2035" width="13" style="81" customWidth="1"/>
    <col min="2036" max="2277" width="11.5546875" style="81"/>
    <col min="2278" max="2278" width="47.33203125" style="81" customWidth="1"/>
    <col min="2279" max="2279" width="23.6640625" style="81" customWidth="1"/>
    <col min="2280" max="2280" width="21.33203125" style="81" customWidth="1"/>
    <col min="2281" max="2281" width="17.5546875" style="81" customWidth="1"/>
    <col min="2282" max="2282" width="16.33203125" style="81" customWidth="1"/>
    <col min="2283" max="2283" width="19.33203125" style="81" customWidth="1"/>
    <col min="2284" max="2285" width="15" style="81" bestFit="1" customWidth="1"/>
    <col min="2286" max="2286" width="11.6640625" style="81" customWidth="1"/>
    <col min="2287" max="2287" width="15" style="81" bestFit="1" customWidth="1"/>
    <col min="2288" max="2288" width="16.6640625" style="81" bestFit="1" customWidth="1"/>
    <col min="2289" max="2290" width="13.33203125" style="81" customWidth="1"/>
    <col min="2291" max="2291" width="13" style="81" customWidth="1"/>
    <col min="2292" max="2533" width="11.5546875" style="81"/>
    <col min="2534" max="2534" width="47.33203125" style="81" customWidth="1"/>
    <col min="2535" max="2535" width="23.6640625" style="81" customWidth="1"/>
    <col min="2536" max="2536" width="21.33203125" style="81" customWidth="1"/>
    <col min="2537" max="2537" width="17.5546875" style="81" customWidth="1"/>
    <col min="2538" max="2538" width="16.33203125" style="81" customWidth="1"/>
    <col min="2539" max="2539" width="19.33203125" style="81" customWidth="1"/>
    <col min="2540" max="2541" width="15" style="81" bestFit="1" customWidth="1"/>
    <col min="2542" max="2542" width="11.6640625" style="81" customWidth="1"/>
    <col min="2543" max="2543" width="15" style="81" bestFit="1" customWidth="1"/>
    <col min="2544" max="2544" width="16.6640625" style="81" bestFit="1" customWidth="1"/>
    <col min="2545" max="2546" width="13.33203125" style="81" customWidth="1"/>
    <col min="2547" max="2547" width="13" style="81" customWidth="1"/>
    <col min="2548" max="2789" width="11.5546875" style="81"/>
    <col min="2790" max="2790" width="47.33203125" style="81" customWidth="1"/>
    <col min="2791" max="2791" width="23.6640625" style="81" customWidth="1"/>
    <col min="2792" max="2792" width="21.33203125" style="81" customWidth="1"/>
    <col min="2793" max="2793" width="17.5546875" style="81" customWidth="1"/>
    <col min="2794" max="2794" width="16.33203125" style="81" customWidth="1"/>
    <col min="2795" max="2795" width="19.33203125" style="81" customWidth="1"/>
    <col min="2796" max="2797" width="15" style="81" bestFit="1" customWidth="1"/>
    <col min="2798" max="2798" width="11.6640625" style="81" customWidth="1"/>
    <col min="2799" max="2799" width="15" style="81" bestFit="1" customWidth="1"/>
    <col min="2800" max="2800" width="16.6640625" style="81" bestFit="1" customWidth="1"/>
    <col min="2801" max="2802" width="13.33203125" style="81" customWidth="1"/>
    <col min="2803" max="2803" width="13" style="81" customWidth="1"/>
    <col min="2804" max="3045" width="11.5546875" style="81"/>
    <col min="3046" max="3046" width="47.33203125" style="81" customWidth="1"/>
    <col min="3047" max="3047" width="23.6640625" style="81" customWidth="1"/>
    <col min="3048" max="3048" width="21.33203125" style="81" customWidth="1"/>
    <col min="3049" max="3049" width="17.5546875" style="81" customWidth="1"/>
    <col min="3050" max="3050" width="16.33203125" style="81" customWidth="1"/>
    <col min="3051" max="3051" width="19.33203125" style="81" customWidth="1"/>
    <col min="3052" max="3053" width="15" style="81" bestFit="1" customWidth="1"/>
    <col min="3054" max="3054" width="11.6640625" style="81" customWidth="1"/>
    <col min="3055" max="3055" width="15" style="81" bestFit="1" customWidth="1"/>
    <col min="3056" max="3056" width="16.6640625" style="81" bestFit="1" customWidth="1"/>
    <col min="3057" max="3058" width="13.33203125" style="81" customWidth="1"/>
    <col min="3059" max="3059" width="13" style="81" customWidth="1"/>
    <col min="3060" max="3301" width="11.5546875" style="81"/>
    <col min="3302" max="3302" width="47.33203125" style="81" customWidth="1"/>
    <col min="3303" max="3303" width="23.6640625" style="81" customWidth="1"/>
    <col min="3304" max="3304" width="21.33203125" style="81" customWidth="1"/>
    <col min="3305" max="3305" width="17.5546875" style="81" customWidth="1"/>
    <col min="3306" max="3306" width="16.33203125" style="81" customWidth="1"/>
    <col min="3307" max="3307" width="19.33203125" style="81" customWidth="1"/>
    <col min="3308" max="3309" width="15" style="81" bestFit="1" customWidth="1"/>
    <col min="3310" max="3310" width="11.6640625" style="81" customWidth="1"/>
    <col min="3311" max="3311" width="15" style="81" bestFit="1" customWidth="1"/>
    <col min="3312" max="3312" width="16.6640625" style="81" bestFit="1" customWidth="1"/>
    <col min="3313" max="3314" width="13.33203125" style="81" customWidth="1"/>
    <col min="3315" max="3315" width="13" style="81" customWidth="1"/>
    <col min="3316" max="3557" width="11.5546875" style="81"/>
    <col min="3558" max="3558" width="47.33203125" style="81" customWidth="1"/>
    <col min="3559" max="3559" width="23.6640625" style="81" customWidth="1"/>
    <col min="3560" max="3560" width="21.33203125" style="81" customWidth="1"/>
    <col min="3561" max="3561" width="17.5546875" style="81" customWidth="1"/>
    <col min="3562" max="3562" width="16.33203125" style="81" customWidth="1"/>
    <col min="3563" max="3563" width="19.33203125" style="81" customWidth="1"/>
    <col min="3564" max="3565" width="15" style="81" bestFit="1" customWidth="1"/>
    <col min="3566" max="3566" width="11.6640625" style="81" customWidth="1"/>
    <col min="3567" max="3567" width="15" style="81" bestFit="1" customWidth="1"/>
    <col min="3568" max="3568" width="16.6640625" style="81" bestFit="1" customWidth="1"/>
    <col min="3569" max="3570" width="13.33203125" style="81" customWidth="1"/>
    <col min="3571" max="3571" width="13" style="81" customWidth="1"/>
    <col min="3572" max="3813" width="11.5546875" style="81"/>
    <col min="3814" max="3814" width="47.33203125" style="81" customWidth="1"/>
    <col min="3815" max="3815" width="23.6640625" style="81" customWidth="1"/>
    <col min="3816" max="3816" width="21.33203125" style="81" customWidth="1"/>
    <col min="3817" max="3817" width="17.5546875" style="81" customWidth="1"/>
    <col min="3818" max="3818" width="16.33203125" style="81" customWidth="1"/>
    <col min="3819" max="3819" width="19.33203125" style="81" customWidth="1"/>
    <col min="3820" max="3821" width="15" style="81" bestFit="1" customWidth="1"/>
    <col min="3822" max="3822" width="11.6640625" style="81" customWidth="1"/>
    <col min="3823" max="3823" width="15" style="81" bestFit="1" customWidth="1"/>
    <col min="3824" max="3824" width="16.6640625" style="81" bestFit="1" customWidth="1"/>
    <col min="3825" max="3826" width="13.33203125" style="81" customWidth="1"/>
    <col min="3827" max="3827" width="13" style="81" customWidth="1"/>
    <col min="3828" max="4069" width="11.5546875" style="81"/>
    <col min="4070" max="4070" width="47.33203125" style="81" customWidth="1"/>
    <col min="4071" max="4071" width="23.6640625" style="81" customWidth="1"/>
    <col min="4072" max="4072" width="21.33203125" style="81" customWidth="1"/>
    <col min="4073" max="4073" width="17.5546875" style="81" customWidth="1"/>
    <col min="4074" max="4074" width="16.33203125" style="81" customWidth="1"/>
    <col min="4075" max="4075" width="19.33203125" style="81" customWidth="1"/>
    <col min="4076" max="4077" width="15" style="81" bestFit="1" customWidth="1"/>
    <col min="4078" max="4078" width="11.6640625" style="81" customWidth="1"/>
    <col min="4079" max="4079" width="15" style="81" bestFit="1" customWidth="1"/>
    <col min="4080" max="4080" width="16.6640625" style="81" bestFit="1" customWidth="1"/>
    <col min="4081" max="4082" width="13.33203125" style="81" customWidth="1"/>
    <col min="4083" max="4083" width="13" style="81" customWidth="1"/>
    <col min="4084" max="4325" width="11.5546875" style="81"/>
    <col min="4326" max="4326" width="47.33203125" style="81" customWidth="1"/>
    <col min="4327" max="4327" width="23.6640625" style="81" customWidth="1"/>
    <col min="4328" max="4328" width="21.33203125" style="81" customWidth="1"/>
    <col min="4329" max="4329" width="17.5546875" style="81" customWidth="1"/>
    <col min="4330" max="4330" width="16.33203125" style="81" customWidth="1"/>
    <col min="4331" max="4331" width="19.33203125" style="81" customWidth="1"/>
    <col min="4332" max="4333" width="15" style="81" bestFit="1" customWidth="1"/>
    <col min="4334" max="4334" width="11.6640625" style="81" customWidth="1"/>
    <col min="4335" max="4335" width="15" style="81" bestFit="1" customWidth="1"/>
    <col min="4336" max="4336" width="16.6640625" style="81" bestFit="1" customWidth="1"/>
    <col min="4337" max="4338" width="13.33203125" style="81" customWidth="1"/>
    <col min="4339" max="4339" width="13" style="81" customWidth="1"/>
    <col min="4340" max="4581" width="11.5546875" style="81"/>
    <col min="4582" max="4582" width="47.33203125" style="81" customWidth="1"/>
    <col min="4583" max="4583" width="23.6640625" style="81" customWidth="1"/>
    <col min="4584" max="4584" width="21.33203125" style="81" customWidth="1"/>
    <col min="4585" max="4585" width="17.5546875" style="81" customWidth="1"/>
    <col min="4586" max="4586" width="16.33203125" style="81" customWidth="1"/>
    <col min="4587" max="4587" width="19.33203125" style="81" customWidth="1"/>
    <col min="4588" max="4589" width="15" style="81" bestFit="1" customWidth="1"/>
    <col min="4590" max="4590" width="11.6640625" style="81" customWidth="1"/>
    <col min="4591" max="4591" width="15" style="81" bestFit="1" customWidth="1"/>
    <col min="4592" max="4592" width="16.6640625" style="81" bestFit="1" customWidth="1"/>
    <col min="4593" max="4594" width="13.33203125" style="81" customWidth="1"/>
    <col min="4595" max="4595" width="13" style="81" customWidth="1"/>
    <col min="4596" max="4837" width="11.5546875" style="81"/>
    <col min="4838" max="4838" width="47.33203125" style="81" customWidth="1"/>
    <col min="4839" max="4839" width="23.6640625" style="81" customWidth="1"/>
    <col min="4840" max="4840" width="21.33203125" style="81" customWidth="1"/>
    <col min="4841" max="4841" width="17.5546875" style="81" customWidth="1"/>
    <col min="4842" max="4842" width="16.33203125" style="81" customWidth="1"/>
    <col min="4843" max="4843" width="19.33203125" style="81" customWidth="1"/>
    <col min="4844" max="4845" width="15" style="81" bestFit="1" customWidth="1"/>
    <col min="4846" max="4846" width="11.6640625" style="81" customWidth="1"/>
    <col min="4847" max="4847" width="15" style="81" bestFit="1" customWidth="1"/>
    <col min="4848" max="4848" width="16.6640625" style="81" bestFit="1" customWidth="1"/>
    <col min="4849" max="4850" width="13.33203125" style="81" customWidth="1"/>
    <col min="4851" max="4851" width="13" style="81" customWidth="1"/>
    <col min="4852" max="5093" width="11.5546875" style="81"/>
    <col min="5094" max="5094" width="47.33203125" style="81" customWidth="1"/>
    <col min="5095" max="5095" width="23.6640625" style="81" customWidth="1"/>
    <col min="5096" max="5096" width="21.33203125" style="81" customWidth="1"/>
    <col min="5097" max="5097" width="17.5546875" style="81" customWidth="1"/>
    <col min="5098" max="5098" width="16.33203125" style="81" customWidth="1"/>
    <col min="5099" max="5099" width="19.33203125" style="81" customWidth="1"/>
    <col min="5100" max="5101" width="15" style="81" bestFit="1" customWidth="1"/>
    <col min="5102" max="5102" width="11.6640625" style="81" customWidth="1"/>
    <col min="5103" max="5103" width="15" style="81" bestFit="1" customWidth="1"/>
    <col min="5104" max="5104" width="16.6640625" style="81" bestFit="1" customWidth="1"/>
    <col min="5105" max="5106" width="13.33203125" style="81" customWidth="1"/>
    <col min="5107" max="5107" width="13" style="81" customWidth="1"/>
    <col min="5108" max="5349" width="11.5546875" style="81"/>
    <col min="5350" max="5350" width="47.33203125" style="81" customWidth="1"/>
    <col min="5351" max="5351" width="23.6640625" style="81" customWidth="1"/>
    <col min="5352" max="5352" width="21.33203125" style="81" customWidth="1"/>
    <col min="5353" max="5353" width="17.5546875" style="81" customWidth="1"/>
    <col min="5354" max="5354" width="16.33203125" style="81" customWidth="1"/>
    <col min="5355" max="5355" width="19.33203125" style="81" customWidth="1"/>
    <col min="5356" max="5357" width="15" style="81" bestFit="1" customWidth="1"/>
    <col min="5358" max="5358" width="11.6640625" style="81" customWidth="1"/>
    <col min="5359" max="5359" width="15" style="81" bestFit="1" customWidth="1"/>
    <col min="5360" max="5360" width="16.6640625" style="81" bestFit="1" customWidth="1"/>
    <col min="5361" max="5362" width="13.33203125" style="81" customWidth="1"/>
    <col min="5363" max="5363" width="13" style="81" customWidth="1"/>
    <col min="5364" max="5605" width="11.5546875" style="81"/>
    <col min="5606" max="5606" width="47.33203125" style="81" customWidth="1"/>
    <col min="5607" max="5607" width="23.6640625" style="81" customWidth="1"/>
    <col min="5608" max="5608" width="21.33203125" style="81" customWidth="1"/>
    <col min="5609" max="5609" width="17.5546875" style="81" customWidth="1"/>
    <col min="5610" max="5610" width="16.33203125" style="81" customWidth="1"/>
    <col min="5611" max="5611" width="19.33203125" style="81" customWidth="1"/>
    <col min="5612" max="5613" width="15" style="81" bestFit="1" customWidth="1"/>
    <col min="5614" max="5614" width="11.6640625" style="81" customWidth="1"/>
    <col min="5615" max="5615" width="15" style="81" bestFit="1" customWidth="1"/>
    <col min="5616" max="5616" width="16.6640625" style="81" bestFit="1" customWidth="1"/>
    <col min="5617" max="5618" width="13.33203125" style="81" customWidth="1"/>
    <col min="5619" max="5619" width="13" style="81" customWidth="1"/>
    <col min="5620" max="5861" width="11.5546875" style="81"/>
    <col min="5862" max="5862" width="47.33203125" style="81" customWidth="1"/>
    <col min="5863" max="5863" width="23.6640625" style="81" customWidth="1"/>
    <col min="5864" max="5864" width="21.33203125" style="81" customWidth="1"/>
    <col min="5865" max="5865" width="17.5546875" style="81" customWidth="1"/>
    <col min="5866" max="5866" width="16.33203125" style="81" customWidth="1"/>
    <col min="5867" max="5867" width="19.33203125" style="81" customWidth="1"/>
    <col min="5868" max="5869" width="15" style="81" bestFit="1" customWidth="1"/>
    <col min="5870" max="5870" width="11.6640625" style="81" customWidth="1"/>
    <col min="5871" max="5871" width="15" style="81" bestFit="1" customWidth="1"/>
    <col min="5872" max="5872" width="16.6640625" style="81" bestFit="1" customWidth="1"/>
    <col min="5873" max="5874" width="13.33203125" style="81" customWidth="1"/>
    <col min="5875" max="5875" width="13" style="81" customWidth="1"/>
    <col min="5876" max="6117" width="11.5546875" style="81"/>
    <col min="6118" max="6118" width="47.33203125" style="81" customWidth="1"/>
    <col min="6119" max="6119" width="23.6640625" style="81" customWidth="1"/>
    <col min="6120" max="6120" width="21.33203125" style="81" customWidth="1"/>
    <col min="6121" max="6121" width="17.5546875" style="81" customWidth="1"/>
    <col min="6122" max="6122" width="16.33203125" style="81" customWidth="1"/>
    <col min="6123" max="6123" width="19.33203125" style="81" customWidth="1"/>
    <col min="6124" max="6125" width="15" style="81" bestFit="1" customWidth="1"/>
    <col min="6126" max="6126" width="11.6640625" style="81" customWidth="1"/>
    <col min="6127" max="6127" width="15" style="81" bestFit="1" customWidth="1"/>
    <col min="6128" max="6128" width="16.6640625" style="81" bestFit="1" customWidth="1"/>
    <col min="6129" max="6130" width="13.33203125" style="81" customWidth="1"/>
    <col min="6131" max="6131" width="13" style="81" customWidth="1"/>
    <col min="6132" max="6373" width="11.5546875" style="81"/>
    <col min="6374" max="6374" width="47.33203125" style="81" customWidth="1"/>
    <col min="6375" max="6375" width="23.6640625" style="81" customWidth="1"/>
    <col min="6376" max="6376" width="21.33203125" style="81" customWidth="1"/>
    <col min="6377" max="6377" width="17.5546875" style="81" customWidth="1"/>
    <col min="6378" max="6378" width="16.33203125" style="81" customWidth="1"/>
    <col min="6379" max="6379" width="19.33203125" style="81" customWidth="1"/>
    <col min="6380" max="6381" width="15" style="81" bestFit="1" customWidth="1"/>
    <col min="6382" max="6382" width="11.6640625" style="81" customWidth="1"/>
    <col min="6383" max="6383" width="15" style="81" bestFit="1" customWidth="1"/>
    <col min="6384" max="6384" width="16.6640625" style="81" bestFit="1" customWidth="1"/>
    <col min="6385" max="6386" width="13.33203125" style="81" customWidth="1"/>
    <col min="6387" max="6387" width="13" style="81" customWidth="1"/>
    <col min="6388" max="6629" width="11.5546875" style="81"/>
    <col min="6630" max="6630" width="47.33203125" style="81" customWidth="1"/>
    <col min="6631" max="6631" width="23.6640625" style="81" customWidth="1"/>
    <col min="6632" max="6632" width="21.33203125" style="81" customWidth="1"/>
    <col min="6633" max="6633" width="17.5546875" style="81" customWidth="1"/>
    <col min="6634" max="6634" width="16.33203125" style="81" customWidth="1"/>
    <col min="6635" max="6635" width="19.33203125" style="81" customWidth="1"/>
    <col min="6636" max="6637" width="15" style="81" bestFit="1" customWidth="1"/>
    <col min="6638" max="6638" width="11.6640625" style="81" customWidth="1"/>
    <col min="6639" max="6639" width="15" style="81" bestFit="1" customWidth="1"/>
    <col min="6640" max="6640" width="16.6640625" style="81" bestFit="1" customWidth="1"/>
    <col min="6641" max="6642" width="13.33203125" style="81" customWidth="1"/>
    <col min="6643" max="6643" width="13" style="81" customWidth="1"/>
    <col min="6644" max="6885" width="11.5546875" style="81"/>
    <col min="6886" max="6886" width="47.33203125" style="81" customWidth="1"/>
    <col min="6887" max="6887" width="23.6640625" style="81" customWidth="1"/>
    <col min="6888" max="6888" width="21.33203125" style="81" customWidth="1"/>
    <col min="6889" max="6889" width="17.5546875" style="81" customWidth="1"/>
    <col min="6890" max="6890" width="16.33203125" style="81" customWidth="1"/>
    <col min="6891" max="6891" width="19.33203125" style="81" customWidth="1"/>
    <col min="6892" max="6893" width="15" style="81" bestFit="1" customWidth="1"/>
    <col min="6894" max="6894" width="11.6640625" style="81" customWidth="1"/>
    <col min="6895" max="6895" width="15" style="81" bestFit="1" customWidth="1"/>
    <col min="6896" max="6896" width="16.6640625" style="81" bestFit="1" customWidth="1"/>
    <col min="6897" max="6898" width="13.33203125" style="81" customWidth="1"/>
    <col min="6899" max="6899" width="13" style="81" customWidth="1"/>
    <col min="6900" max="7141" width="11.5546875" style="81"/>
    <col min="7142" max="7142" width="47.33203125" style="81" customWidth="1"/>
    <col min="7143" max="7143" width="23.6640625" style="81" customWidth="1"/>
    <col min="7144" max="7144" width="21.33203125" style="81" customWidth="1"/>
    <col min="7145" max="7145" width="17.5546875" style="81" customWidth="1"/>
    <col min="7146" max="7146" width="16.33203125" style="81" customWidth="1"/>
    <col min="7147" max="7147" width="19.33203125" style="81" customWidth="1"/>
    <col min="7148" max="7149" width="15" style="81" bestFit="1" customWidth="1"/>
    <col min="7150" max="7150" width="11.6640625" style="81" customWidth="1"/>
    <col min="7151" max="7151" width="15" style="81" bestFit="1" customWidth="1"/>
    <col min="7152" max="7152" width="16.6640625" style="81" bestFit="1" customWidth="1"/>
    <col min="7153" max="7154" width="13.33203125" style="81" customWidth="1"/>
    <col min="7155" max="7155" width="13" style="81" customWidth="1"/>
    <col min="7156" max="7397" width="11.5546875" style="81"/>
    <col min="7398" max="7398" width="47.33203125" style="81" customWidth="1"/>
    <col min="7399" max="7399" width="23.6640625" style="81" customWidth="1"/>
    <col min="7400" max="7400" width="21.33203125" style="81" customWidth="1"/>
    <col min="7401" max="7401" width="17.5546875" style="81" customWidth="1"/>
    <col min="7402" max="7402" width="16.33203125" style="81" customWidth="1"/>
    <col min="7403" max="7403" width="19.33203125" style="81" customWidth="1"/>
    <col min="7404" max="7405" width="15" style="81" bestFit="1" customWidth="1"/>
    <col min="7406" max="7406" width="11.6640625" style="81" customWidth="1"/>
    <col min="7407" max="7407" width="15" style="81" bestFit="1" customWidth="1"/>
    <col min="7408" max="7408" width="16.6640625" style="81" bestFit="1" customWidth="1"/>
    <col min="7409" max="7410" width="13.33203125" style="81" customWidth="1"/>
    <col min="7411" max="7411" width="13" style="81" customWidth="1"/>
    <col min="7412" max="7653" width="11.5546875" style="81"/>
    <col min="7654" max="7654" width="47.33203125" style="81" customWidth="1"/>
    <col min="7655" max="7655" width="23.6640625" style="81" customWidth="1"/>
    <col min="7656" max="7656" width="21.33203125" style="81" customWidth="1"/>
    <col min="7657" max="7657" width="17.5546875" style="81" customWidth="1"/>
    <col min="7658" max="7658" width="16.33203125" style="81" customWidth="1"/>
    <col min="7659" max="7659" width="19.33203125" style="81" customWidth="1"/>
    <col min="7660" max="7661" width="15" style="81" bestFit="1" customWidth="1"/>
    <col min="7662" max="7662" width="11.6640625" style="81" customWidth="1"/>
    <col min="7663" max="7663" width="15" style="81" bestFit="1" customWidth="1"/>
    <col min="7664" max="7664" width="16.6640625" style="81" bestFit="1" customWidth="1"/>
    <col min="7665" max="7666" width="13.33203125" style="81" customWidth="1"/>
    <col min="7667" max="7667" width="13" style="81" customWidth="1"/>
    <col min="7668" max="7909" width="11.5546875" style="81"/>
    <col min="7910" max="7910" width="47.33203125" style="81" customWidth="1"/>
    <col min="7911" max="7911" width="23.6640625" style="81" customWidth="1"/>
    <col min="7912" max="7912" width="21.33203125" style="81" customWidth="1"/>
    <col min="7913" max="7913" width="17.5546875" style="81" customWidth="1"/>
    <col min="7914" max="7914" width="16.33203125" style="81" customWidth="1"/>
    <col min="7915" max="7915" width="19.33203125" style="81" customWidth="1"/>
    <col min="7916" max="7917" width="15" style="81" bestFit="1" customWidth="1"/>
    <col min="7918" max="7918" width="11.6640625" style="81" customWidth="1"/>
    <col min="7919" max="7919" width="15" style="81" bestFit="1" customWidth="1"/>
    <col min="7920" max="7920" width="16.6640625" style="81" bestFit="1" customWidth="1"/>
    <col min="7921" max="7922" width="13.33203125" style="81" customWidth="1"/>
    <col min="7923" max="7923" width="13" style="81" customWidth="1"/>
    <col min="7924" max="8165" width="11.5546875" style="81"/>
    <col min="8166" max="8166" width="47.33203125" style="81" customWidth="1"/>
    <col min="8167" max="8167" width="23.6640625" style="81" customWidth="1"/>
    <col min="8168" max="8168" width="21.33203125" style="81" customWidth="1"/>
    <col min="8169" max="8169" width="17.5546875" style="81" customWidth="1"/>
    <col min="8170" max="8170" width="16.33203125" style="81" customWidth="1"/>
    <col min="8171" max="8171" width="19.33203125" style="81" customWidth="1"/>
    <col min="8172" max="8173" width="15" style="81" bestFit="1" customWidth="1"/>
    <col min="8174" max="8174" width="11.6640625" style="81" customWidth="1"/>
    <col min="8175" max="8175" width="15" style="81" bestFit="1" customWidth="1"/>
    <col min="8176" max="8176" width="16.6640625" style="81" bestFit="1" customWidth="1"/>
    <col min="8177" max="8178" width="13.33203125" style="81" customWidth="1"/>
    <col min="8179" max="8179" width="13" style="81" customWidth="1"/>
    <col min="8180" max="8421" width="11.5546875" style="81"/>
    <col min="8422" max="8422" width="47.33203125" style="81" customWidth="1"/>
    <col min="8423" max="8423" width="23.6640625" style="81" customWidth="1"/>
    <col min="8424" max="8424" width="21.33203125" style="81" customWidth="1"/>
    <col min="8425" max="8425" width="17.5546875" style="81" customWidth="1"/>
    <col min="8426" max="8426" width="16.33203125" style="81" customWidth="1"/>
    <col min="8427" max="8427" width="19.33203125" style="81" customWidth="1"/>
    <col min="8428" max="8429" width="15" style="81" bestFit="1" customWidth="1"/>
    <col min="8430" max="8430" width="11.6640625" style="81" customWidth="1"/>
    <col min="8431" max="8431" width="15" style="81" bestFit="1" customWidth="1"/>
    <col min="8432" max="8432" width="16.6640625" style="81" bestFit="1" customWidth="1"/>
    <col min="8433" max="8434" width="13.33203125" style="81" customWidth="1"/>
    <col min="8435" max="8435" width="13" style="81" customWidth="1"/>
    <col min="8436" max="8677" width="11.5546875" style="81"/>
    <col min="8678" max="8678" width="47.33203125" style="81" customWidth="1"/>
    <col min="8679" max="8679" width="23.6640625" style="81" customWidth="1"/>
    <col min="8680" max="8680" width="21.33203125" style="81" customWidth="1"/>
    <col min="8681" max="8681" width="17.5546875" style="81" customWidth="1"/>
    <col min="8682" max="8682" width="16.33203125" style="81" customWidth="1"/>
    <col min="8683" max="8683" width="19.33203125" style="81" customWidth="1"/>
    <col min="8684" max="8685" width="15" style="81" bestFit="1" customWidth="1"/>
    <col min="8686" max="8686" width="11.6640625" style="81" customWidth="1"/>
    <col min="8687" max="8687" width="15" style="81" bestFit="1" customWidth="1"/>
    <col min="8688" max="8688" width="16.6640625" style="81" bestFit="1" customWidth="1"/>
    <col min="8689" max="8690" width="13.33203125" style="81" customWidth="1"/>
    <col min="8691" max="8691" width="13" style="81" customWidth="1"/>
    <col min="8692" max="8933" width="11.5546875" style="81"/>
    <col min="8934" max="8934" width="47.33203125" style="81" customWidth="1"/>
    <col min="8935" max="8935" width="23.6640625" style="81" customWidth="1"/>
    <col min="8936" max="8936" width="21.33203125" style="81" customWidth="1"/>
    <col min="8937" max="8937" width="17.5546875" style="81" customWidth="1"/>
    <col min="8938" max="8938" width="16.33203125" style="81" customWidth="1"/>
    <col min="8939" max="8939" width="19.33203125" style="81" customWidth="1"/>
    <col min="8940" max="8941" width="15" style="81" bestFit="1" customWidth="1"/>
    <col min="8942" max="8942" width="11.6640625" style="81" customWidth="1"/>
    <col min="8943" max="8943" width="15" style="81" bestFit="1" customWidth="1"/>
    <col min="8944" max="8944" width="16.6640625" style="81" bestFit="1" customWidth="1"/>
    <col min="8945" max="8946" width="13.33203125" style="81" customWidth="1"/>
    <col min="8947" max="8947" width="13" style="81" customWidth="1"/>
    <col min="8948" max="9189" width="11.5546875" style="81"/>
    <col min="9190" max="9190" width="47.33203125" style="81" customWidth="1"/>
    <col min="9191" max="9191" width="23.6640625" style="81" customWidth="1"/>
    <col min="9192" max="9192" width="21.33203125" style="81" customWidth="1"/>
    <col min="9193" max="9193" width="17.5546875" style="81" customWidth="1"/>
    <col min="9194" max="9194" width="16.33203125" style="81" customWidth="1"/>
    <col min="9195" max="9195" width="19.33203125" style="81" customWidth="1"/>
    <col min="9196" max="9197" width="15" style="81" bestFit="1" customWidth="1"/>
    <col min="9198" max="9198" width="11.6640625" style="81" customWidth="1"/>
    <col min="9199" max="9199" width="15" style="81" bestFit="1" customWidth="1"/>
    <col min="9200" max="9200" width="16.6640625" style="81" bestFit="1" customWidth="1"/>
    <col min="9201" max="9202" width="13.33203125" style="81" customWidth="1"/>
    <col min="9203" max="9203" width="13" style="81" customWidth="1"/>
    <col min="9204" max="9445" width="11.5546875" style="81"/>
    <col min="9446" max="9446" width="47.33203125" style="81" customWidth="1"/>
    <col min="9447" max="9447" width="23.6640625" style="81" customWidth="1"/>
    <col min="9448" max="9448" width="21.33203125" style="81" customWidth="1"/>
    <col min="9449" max="9449" width="17.5546875" style="81" customWidth="1"/>
    <col min="9450" max="9450" width="16.33203125" style="81" customWidth="1"/>
    <col min="9451" max="9451" width="19.33203125" style="81" customWidth="1"/>
    <col min="9452" max="9453" width="15" style="81" bestFit="1" customWidth="1"/>
    <col min="9454" max="9454" width="11.6640625" style="81" customWidth="1"/>
    <col min="9455" max="9455" width="15" style="81" bestFit="1" customWidth="1"/>
    <col min="9456" max="9456" width="16.6640625" style="81" bestFit="1" customWidth="1"/>
    <col min="9457" max="9458" width="13.33203125" style="81" customWidth="1"/>
    <col min="9459" max="9459" width="13" style="81" customWidth="1"/>
    <col min="9460" max="9701" width="11.5546875" style="81"/>
    <col min="9702" max="9702" width="47.33203125" style="81" customWidth="1"/>
    <col min="9703" max="9703" width="23.6640625" style="81" customWidth="1"/>
    <col min="9704" max="9704" width="21.33203125" style="81" customWidth="1"/>
    <col min="9705" max="9705" width="17.5546875" style="81" customWidth="1"/>
    <col min="9706" max="9706" width="16.33203125" style="81" customWidth="1"/>
    <col min="9707" max="9707" width="19.33203125" style="81" customWidth="1"/>
    <col min="9708" max="9709" width="15" style="81" bestFit="1" customWidth="1"/>
    <col min="9710" max="9710" width="11.6640625" style="81" customWidth="1"/>
    <col min="9711" max="9711" width="15" style="81" bestFit="1" customWidth="1"/>
    <col min="9712" max="9712" width="16.6640625" style="81" bestFit="1" customWidth="1"/>
    <col min="9713" max="9714" width="13.33203125" style="81" customWidth="1"/>
    <col min="9715" max="9715" width="13" style="81" customWidth="1"/>
    <col min="9716" max="9957" width="11.5546875" style="81"/>
    <col min="9958" max="9958" width="47.33203125" style="81" customWidth="1"/>
    <col min="9959" max="9959" width="23.6640625" style="81" customWidth="1"/>
    <col min="9960" max="9960" width="21.33203125" style="81" customWidth="1"/>
    <col min="9961" max="9961" width="17.5546875" style="81" customWidth="1"/>
    <col min="9962" max="9962" width="16.33203125" style="81" customWidth="1"/>
    <col min="9963" max="9963" width="19.33203125" style="81" customWidth="1"/>
    <col min="9964" max="9965" width="15" style="81" bestFit="1" customWidth="1"/>
    <col min="9966" max="9966" width="11.6640625" style="81" customWidth="1"/>
    <col min="9967" max="9967" width="15" style="81" bestFit="1" customWidth="1"/>
    <col min="9968" max="9968" width="16.6640625" style="81" bestFit="1" customWidth="1"/>
    <col min="9969" max="9970" width="13.33203125" style="81" customWidth="1"/>
    <col min="9971" max="9971" width="13" style="81" customWidth="1"/>
    <col min="9972" max="10213" width="11.5546875" style="81"/>
    <col min="10214" max="10214" width="47.33203125" style="81" customWidth="1"/>
    <col min="10215" max="10215" width="23.6640625" style="81" customWidth="1"/>
    <col min="10216" max="10216" width="21.33203125" style="81" customWidth="1"/>
    <col min="10217" max="10217" width="17.5546875" style="81" customWidth="1"/>
    <col min="10218" max="10218" width="16.33203125" style="81" customWidth="1"/>
    <col min="10219" max="10219" width="19.33203125" style="81" customWidth="1"/>
    <col min="10220" max="10221" width="15" style="81" bestFit="1" customWidth="1"/>
    <col min="10222" max="10222" width="11.6640625" style="81" customWidth="1"/>
    <col min="10223" max="10223" width="15" style="81" bestFit="1" customWidth="1"/>
    <col min="10224" max="10224" width="16.6640625" style="81" bestFit="1" customWidth="1"/>
    <col min="10225" max="10226" width="13.33203125" style="81" customWidth="1"/>
    <col min="10227" max="10227" width="13" style="81" customWidth="1"/>
    <col min="10228" max="10469" width="11.5546875" style="81"/>
    <col min="10470" max="10470" width="47.33203125" style="81" customWidth="1"/>
    <col min="10471" max="10471" width="23.6640625" style="81" customWidth="1"/>
    <col min="10472" max="10472" width="21.33203125" style="81" customWidth="1"/>
    <col min="10473" max="10473" width="17.5546875" style="81" customWidth="1"/>
    <col min="10474" max="10474" width="16.33203125" style="81" customWidth="1"/>
    <col min="10475" max="10475" width="19.33203125" style="81" customWidth="1"/>
    <col min="10476" max="10477" width="15" style="81" bestFit="1" customWidth="1"/>
    <col min="10478" max="10478" width="11.6640625" style="81" customWidth="1"/>
    <col min="10479" max="10479" width="15" style="81" bestFit="1" customWidth="1"/>
    <col min="10480" max="10480" width="16.6640625" style="81" bestFit="1" customWidth="1"/>
    <col min="10481" max="10482" width="13.33203125" style="81" customWidth="1"/>
    <col min="10483" max="10483" width="13" style="81" customWidth="1"/>
    <col min="10484" max="10725" width="11.5546875" style="81"/>
    <col min="10726" max="10726" width="47.33203125" style="81" customWidth="1"/>
    <col min="10727" max="10727" width="23.6640625" style="81" customWidth="1"/>
    <col min="10728" max="10728" width="21.33203125" style="81" customWidth="1"/>
    <col min="10729" max="10729" width="17.5546875" style="81" customWidth="1"/>
    <col min="10730" max="10730" width="16.33203125" style="81" customWidth="1"/>
    <col min="10731" max="10731" width="19.33203125" style="81" customWidth="1"/>
    <col min="10732" max="10733" width="15" style="81" bestFit="1" customWidth="1"/>
    <col min="10734" max="10734" width="11.6640625" style="81" customWidth="1"/>
    <col min="10735" max="10735" width="15" style="81" bestFit="1" customWidth="1"/>
    <col min="10736" max="10736" width="16.6640625" style="81" bestFit="1" customWidth="1"/>
    <col min="10737" max="10738" width="13.33203125" style="81" customWidth="1"/>
    <col min="10739" max="10739" width="13" style="81" customWidth="1"/>
    <col min="10740" max="10981" width="11.5546875" style="81"/>
    <col min="10982" max="10982" width="47.33203125" style="81" customWidth="1"/>
    <col min="10983" max="10983" width="23.6640625" style="81" customWidth="1"/>
    <col min="10984" max="10984" width="21.33203125" style="81" customWidth="1"/>
    <col min="10985" max="10985" width="17.5546875" style="81" customWidth="1"/>
    <col min="10986" max="10986" width="16.33203125" style="81" customWidth="1"/>
    <col min="10987" max="10987" width="19.33203125" style="81" customWidth="1"/>
    <col min="10988" max="10989" width="15" style="81" bestFit="1" customWidth="1"/>
    <col min="10990" max="10990" width="11.6640625" style="81" customWidth="1"/>
    <col min="10991" max="10991" width="15" style="81" bestFit="1" customWidth="1"/>
    <col min="10992" max="10992" width="16.6640625" style="81" bestFit="1" customWidth="1"/>
    <col min="10993" max="10994" width="13.33203125" style="81" customWidth="1"/>
    <col min="10995" max="10995" width="13" style="81" customWidth="1"/>
    <col min="10996" max="11237" width="11.5546875" style="81"/>
    <col min="11238" max="11238" width="47.33203125" style="81" customWidth="1"/>
    <col min="11239" max="11239" width="23.6640625" style="81" customWidth="1"/>
    <col min="11240" max="11240" width="21.33203125" style="81" customWidth="1"/>
    <col min="11241" max="11241" width="17.5546875" style="81" customWidth="1"/>
    <col min="11242" max="11242" width="16.33203125" style="81" customWidth="1"/>
    <col min="11243" max="11243" width="19.33203125" style="81" customWidth="1"/>
    <col min="11244" max="11245" width="15" style="81" bestFit="1" customWidth="1"/>
    <col min="11246" max="11246" width="11.6640625" style="81" customWidth="1"/>
    <col min="11247" max="11247" width="15" style="81" bestFit="1" customWidth="1"/>
    <col min="11248" max="11248" width="16.6640625" style="81" bestFit="1" customWidth="1"/>
    <col min="11249" max="11250" width="13.33203125" style="81" customWidth="1"/>
    <col min="11251" max="11251" width="13" style="81" customWidth="1"/>
    <col min="11252" max="11493" width="11.5546875" style="81"/>
    <col min="11494" max="11494" width="47.33203125" style="81" customWidth="1"/>
    <col min="11495" max="11495" width="23.6640625" style="81" customWidth="1"/>
    <col min="11496" max="11496" width="21.33203125" style="81" customWidth="1"/>
    <col min="11497" max="11497" width="17.5546875" style="81" customWidth="1"/>
    <col min="11498" max="11498" width="16.33203125" style="81" customWidth="1"/>
    <col min="11499" max="11499" width="19.33203125" style="81" customWidth="1"/>
    <col min="11500" max="11501" width="15" style="81" bestFit="1" customWidth="1"/>
    <col min="11502" max="11502" width="11.6640625" style="81" customWidth="1"/>
    <col min="11503" max="11503" width="15" style="81" bestFit="1" customWidth="1"/>
    <col min="11504" max="11504" width="16.6640625" style="81" bestFit="1" customWidth="1"/>
    <col min="11505" max="11506" width="13.33203125" style="81" customWidth="1"/>
    <col min="11507" max="11507" width="13" style="81" customWidth="1"/>
    <col min="11508" max="11749" width="11.5546875" style="81"/>
    <col min="11750" max="11750" width="47.33203125" style="81" customWidth="1"/>
    <col min="11751" max="11751" width="23.6640625" style="81" customWidth="1"/>
    <col min="11752" max="11752" width="21.33203125" style="81" customWidth="1"/>
    <col min="11753" max="11753" width="17.5546875" style="81" customWidth="1"/>
    <col min="11754" max="11754" width="16.33203125" style="81" customWidth="1"/>
    <col min="11755" max="11755" width="19.33203125" style="81" customWidth="1"/>
    <col min="11756" max="11757" width="15" style="81" bestFit="1" customWidth="1"/>
    <col min="11758" max="11758" width="11.6640625" style="81" customWidth="1"/>
    <col min="11759" max="11759" width="15" style="81" bestFit="1" customWidth="1"/>
    <col min="11760" max="11760" width="16.6640625" style="81" bestFit="1" customWidth="1"/>
    <col min="11761" max="11762" width="13.33203125" style="81" customWidth="1"/>
    <col min="11763" max="11763" width="13" style="81" customWidth="1"/>
    <col min="11764" max="12005" width="11.5546875" style="81"/>
    <col min="12006" max="12006" width="47.33203125" style="81" customWidth="1"/>
    <col min="12007" max="12007" width="23.6640625" style="81" customWidth="1"/>
    <col min="12008" max="12008" width="21.33203125" style="81" customWidth="1"/>
    <col min="12009" max="12009" width="17.5546875" style="81" customWidth="1"/>
    <col min="12010" max="12010" width="16.33203125" style="81" customWidth="1"/>
    <col min="12011" max="12011" width="19.33203125" style="81" customWidth="1"/>
    <col min="12012" max="12013" width="15" style="81" bestFit="1" customWidth="1"/>
    <col min="12014" max="12014" width="11.6640625" style="81" customWidth="1"/>
    <col min="12015" max="12015" width="15" style="81" bestFit="1" customWidth="1"/>
    <col min="12016" max="12016" width="16.6640625" style="81" bestFit="1" customWidth="1"/>
    <col min="12017" max="12018" width="13.33203125" style="81" customWidth="1"/>
    <col min="12019" max="12019" width="13" style="81" customWidth="1"/>
    <col min="12020" max="12261" width="11.5546875" style="81"/>
    <col min="12262" max="12262" width="47.33203125" style="81" customWidth="1"/>
    <col min="12263" max="12263" width="23.6640625" style="81" customWidth="1"/>
    <col min="12264" max="12264" width="21.33203125" style="81" customWidth="1"/>
    <col min="12265" max="12265" width="17.5546875" style="81" customWidth="1"/>
    <col min="12266" max="12266" width="16.33203125" style="81" customWidth="1"/>
    <col min="12267" max="12267" width="19.33203125" style="81" customWidth="1"/>
    <col min="12268" max="12269" width="15" style="81" bestFit="1" customWidth="1"/>
    <col min="12270" max="12270" width="11.6640625" style="81" customWidth="1"/>
    <col min="12271" max="12271" width="15" style="81" bestFit="1" customWidth="1"/>
    <col min="12272" max="12272" width="16.6640625" style="81" bestFit="1" customWidth="1"/>
    <col min="12273" max="12274" width="13.33203125" style="81" customWidth="1"/>
    <col min="12275" max="12275" width="13" style="81" customWidth="1"/>
    <col min="12276" max="12517" width="11.5546875" style="81"/>
    <col min="12518" max="12518" width="47.33203125" style="81" customWidth="1"/>
    <col min="12519" max="12519" width="23.6640625" style="81" customWidth="1"/>
    <col min="12520" max="12520" width="21.33203125" style="81" customWidth="1"/>
    <col min="12521" max="12521" width="17.5546875" style="81" customWidth="1"/>
    <col min="12522" max="12522" width="16.33203125" style="81" customWidth="1"/>
    <col min="12523" max="12523" width="19.33203125" style="81" customWidth="1"/>
    <col min="12524" max="12525" width="15" style="81" bestFit="1" customWidth="1"/>
    <col min="12526" max="12526" width="11.6640625" style="81" customWidth="1"/>
    <col min="12527" max="12527" width="15" style="81" bestFit="1" customWidth="1"/>
    <col min="12528" max="12528" width="16.6640625" style="81" bestFit="1" customWidth="1"/>
    <col min="12529" max="12530" width="13.33203125" style="81" customWidth="1"/>
    <col min="12531" max="12531" width="13" style="81" customWidth="1"/>
    <col min="12532" max="12773" width="11.5546875" style="81"/>
    <col min="12774" max="12774" width="47.33203125" style="81" customWidth="1"/>
    <col min="12775" max="12775" width="23.6640625" style="81" customWidth="1"/>
    <col min="12776" max="12776" width="21.33203125" style="81" customWidth="1"/>
    <col min="12777" max="12777" width="17.5546875" style="81" customWidth="1"/>
    <col min="12778" max="12778" width="16.33203125" style="81" customWidth="1"/>
    <col min="12779" max="12779" width="19.33203125" style="81" customWidth="1"/>
    <col min="12780" max="12781" width="15" style="81" bestFit="1" customWidth="1"/>
    <col min="12782" max="12782" width="11.6640625" style="81" customWidth="1"/>
    <col min="12783" max="12783" width="15" style="81" bestFit="1" customWidth="1"/>
    <col min="12784" max="12784" width="16.6640625" style="81" bestFit="1" customWidth="1"/>
    <col min="12785" max="12786" width="13.33203125" style="81" customWidth="1"/>
    <col min="12787" max="12787" width="13" style="81" customWidth="1"/>
    <col min="12788" max="13029" width="11.5546875" style="81"/>
    <col min="13030" max="13030" width="47.33203125" style="81" customWidth="1"/>
    <col min="13031" max="13031" width="23.6640625" style="81" customWidth="1"/>
    <col min="13032" max="13032" width="21.33203125" style="81" customWidth="1"/>
    <col min="13033" max="13033" width="17.5546875" style="81" customWidth="1"/>
    <col min="13034" max="13034" width="16.33203125" style="81" customWidth="1"/>
    <col min="13035" max="13035" width="19.33203125" style="81" customWidth="1"/>
    <col min="13036" max="13037" width="15" style="81" bestFit="1" customWidth="1"/>
    <col min="13038" max="13038" width="11.6640625" style="81" customWidth="1"/>
    <col min="13039" max="13039" width="15" style="81" bestFit="1" customWidth="1"/>
    <col min="13040" max="13040" width="16.6640625" style="81" bestFit="1" customWidth="1"/>
    <col min="13041" max="13042" width="13.33203125" style="81" customWidth="1"/>
    <col min="13043" max="13043" width="13" style="81" customWidth="1"/>
    <col min="13044" max="13285" width="11.5546875" style="81"/>
    <col min="13286" max="13286" width="47.33203125" style="81" customWidth="1"/>
    <col min="13287" max="13287" width="23.6640625" style="81" customWidth="1"/>
    <col min="13288" max="13288" width="21.33203125" style="81" customWidth="1"/>
    <col min="13289" max="13289" width="17.5546875" style="81" customWidth="1"/>
    <col min="13290" max="13290" width="16.33203125" style="81" customWidth="1"/>
    <col min="13291" max="13291" width="19.33203125" style="81" customWidth="1"/>
    <col min="13292" max="13293" width="15" style="81" bestFit="1" customWidth="1"/>
    <col min="13294" max="13294" width="11.6640625" style="81" customWidth="1"/>
    <col min="13295" max="13295" width="15" style="81" bestFit="1" customWidth="1"/>
    <col min="13296" max="13296" width="16.6640625" style="81" bestFit="1" customWidth="1"/>
    <col min="13297" max="13298" width="13.33203125" style="81" customWidth="1"/>
    <col min="13299" max="13299" width="13" style="81" customWidth="1"/>
    <col min="13300" max="13541" width="11.5546875" style="81"/>
    <col min="13542" max="13542" width="47.33203125" style="81" customWidth="1"/>
    <col min="13543" max="13543" width="23.6640625" style="81" customWidth="1"/>
    <col min="13544" max="13544" width="21.33203125" style="81" customWidth="1"/>
    <col min="13545" max="13545" width="17.5546875" style="81" customWidth="1"/>
    <col min="13546" max="13546" width="16.33203125" style="81" customWidth="1"/>
    <col min="13547" max="13547" width="19.33203125" style="81" customWidth="1"/>
    <col min="13548" max="13549" width="15" style="81" bestFit="1" customWidth="1"/>
    <col min="13550" max="13550" width="11.6640625" style="81" customWidth="1"/>
    <col min="13551" max="13551" width="15" style="81" bestFit="1" customWidth="1"/>
    <col min="13552" max="13552" width="16.6640625" style="81" bestFit="1" customWidth="1"/>
    <col min="13553" max="13554" width="13.33203125" style="81" customWidth="1"/>
    <col min="13555" max="13555" width="13" style="81" customWidth="1"/>
    <col min="13556" max="13797" width="11.5546875" style="81"/>
    <col min="13798" max="13798" width="47.33203125" style="81" customWidth="1"/>
    <col min="13799" max="13799" width="23.6640625" style="81" customWidth="1"/>
    <col min="13800" max="13800" width="21.33203125" style="81" customWidth="1"/>
    <col min="13801" max="13801" width="17.5546875" style="81" customWidth="1"/>
    <col min="13802" max="13802" width="16.33203125" style="81" customWidth="1"/>
    <col min="13803" max="13803" width="19.33203125" style="81" customWidth="1"/>
    <col min="13804" max="13805" width="15" style="81" bestFit="1" customWidth="1"/>
    <col min="13806" max="13806" width="11.6640625" style="81" customWidth="1"/>
    <col min="13807" max="13807" width="15" style="81" bestFit="1" customWidth="1"/>
    <col min="13808" max="13808" width="16.6640625" style="81" bestFit="1" customWidth="1"/>
    <col min="13809" max="13810" width="13.33203125" style="81" customWidth="1"/>
    <col min="13811" max="13811" width="13" style="81" customWidth="1"/>
    <col min="13812" max="14053" width="11.5546875" style="81"/>
    <col min="14054" max="14054" width="47.33203125" style="81" customWidth="1"/>
    <col min="14055" max="14055" width="23.6640625" style="81" customWidth="1"/>
    <col min="14056" max="14056" width="21.33203125" style="81" customWidth="1"/>
    <col min="14057" max="14057" width="17.5546875" style="81" customWidth="1"/>
    <col min="14058" max="14058" width="16.33203125" style="81" customWidth="1"/>
    <col min="14059" max="14059" width="19.33203125" style="81" customWidth="1"/>
    <col min="14060" max="14061" width="15" style="81" bestFit="1" customWidth="1"/>
    <col min="14062" max="14062" width="11.6640625" style="81" customWidth="1"/>
    <col min="14063" max="14063" width="15" style="81" bestFit="1" customWidth="1"/>
    <col min="14064" max="14064" width="16.6640625" style="81" bestFit="1" customWidth="1"/>
    <col min="14065" max="14066" width="13.33203125" style="81" customWidth="1"/>
    <col min="14067" max="14067" width="13" style="81" customWidth="1"/>
    <col min="14068" max="14309" width="11.5546875" style="81"/>
    <col min="14310" max="14310" width="47.33203125" style="81" customWidth="1"/>
    <col min="14311" max="14311" width="23.6640625" style="81" customWidth="1"/>
    <col min="14312" max="14312" width="21.33203125" style="81" customWidth="1"/>
    <col min="14313" max="14313" width="17.5546875" style="81" customWidth="1"/>
    <col min="14314" max="14314" width="16.33203125" style="81" customWidth="1"/>
    <col min="14315" max="14315" width="19.33203125" style="81" customWidth="1"/>
    <col min="14316" max="14317" width="15" style="81" bestFit="1" customWidth="1"/>
    <col min="14318" max="14318" width="11.6640625" style="81" customWidth="1"/>
    <col min="14319" max="14319" width="15" style="81" bestFit="1" customWidth="1"/>
    <col min="14320" max="14320" width="16.6640625" style="81" bestFit="1" customWidth="1"/>
    <col min="14321" max="14322" width="13.33203125" style="81" customWidth="1"/>
    <col min="14323" max="14323" width="13" style="81" customWidth="1"/>
    <col min="14324" max="14565" width="11.5546875" style="81"/>
    <col min="14566" max="14566" width="47.33203125" style="81" customWidth="1"/>
    <col min="14567" max="14567" width="23.6640625" style="81" customWidth="1"/>
    <col min="14568" max="14568" width="21.33203125" style="81" customWidth="1"/>
    <col min="14569" max="14569" width="17.5546875" style="81" customWidth="1"/>
    <col min="14570" max="14570" width="16.33203125" style="81" customWidth="1"/>
    <col min="14571" max="14571" width="19.33203125" style="81" customWidth="1"/>
    <col min="14572" max="14573" width="15" style="81" bestFit="1" customWidth="1"/>
    <col min="14574" max="14574" width="11.6640625" style="81" customWidth="1"/>
    <col min="14575" max="14575" width="15" style="81" bestFit="1" customWidth="1"/>
    <col min="14576" max="14576" width="16.6640625" style="81" bestFit="1" customWidth="1"/>
    <col min="14577" max="14578" width="13.33203125" style="81" customWidth="1"/>
    <col min="14579" max="14579" width="13" style="81" customWidth="1"/>
    <col min="14580" max="14821" width="11.5546875" style="81"/>
    <col min="14822" max="14822" width="47.33203125" style="81" customWidth="1"/>
    <col min="14823" max="14823" width="23.6640625" style="81" customWidth="1"/>
    <col min="14824" max="14824" width="21.33203125" style="81" customWidth="1"/>
    <col min="14825" max="14825" width="17.5546875" style="81" customWidth="1"/>
    <col min="14826" max="14826" width="16.33203125" style="81" customWidth="1"/>
    <col min="14827" max="14827" width="19.33203125" style="81" customWidth="1"/>
    <col min="14828" max="14829" width="15" style="81" bestFit="1" customWidth="1"/>
    <col min="14830" max="14830" width="11.6640625" style="81" customWidth="1"/>
    <col min="14831" max="14831" width="15" style="81" bestFit="1" customWidth="1"/>
    <col min="14832" max="14832" width="16.6640625" style="81" bestFit="1" customWidth="1"/>
    <col min="14833" max="14834" width="13.33203125" style="81" customWidth="1"/>
    <col min="14835" max="14835" width="13" style="81" customWidth="1"/>
    <col min="14836" max="15077" width="11.5546875" style="81"/>
    <col min="15078" max="15078" width="47.33203125" style="81" customWidth="1"/>
    <col min="15079" max="15079" width="23.6640625" style="81" customWidth="1"/>
    <col min="15080" max="15080" width="21.33203125" style="81" customWidth="1"/>
    <col min="15081" max="15081" width="17.5546875" style="81" customWidth="1"/>
    <col min="15082" max="15082" width="16.33203125" style="81" customWidth="1"/>
    <col min="15083" max="15083" width="19.33203125" style="81" customWidth="1"/>
    <col min="15084" max="15085" width="15" style="81" bestFit="1" customWidth="1"/>
    <col min="15086" max="15086" width="11.6640625" style="81" customWidth="1"/>
    <col min="15087" max="15087" width="15" style="81" bestFit="1" customWidth="1"/>
    <col min="15088" max="15088" width="16.6640625" style="81" bestFit="1" customWidth="1"/>
    <col min="15089" max="15090" width="13.33203125" style="81" customWidth="1"/>
    <col min="15091" max="15091" width="13" style="81" customWidth="1"/>
    <col min="15092" max="15333" width="11.5546875" style="81"/>
    <col min="15334" max="15334" width="47.33203125" style="81" customWidth="1"/>
    <col min="15335" max="15335" width="23.6640625" style="81" customWidth="1"/>
    <col min="15336" max="15336" width="21.33203125" style="81" customWidth="1"/>
    <col min="15337" max="15337" width="17.5546875" style="81" customWidth="1"/>
    <col min="15338" max="15338" width="16.33203125" style="81" customWidth="1"/>
    <col min="15339" max="15339" width="19.33203125" style="81" customWidth="1"/>
    <col min="15340" max="15341" width="15" style="81" bestFit="1" customWidth="1"/>
    <col min="15342" max="15342" width="11.6640625" style="81" customWidth="1"/>
    <col min="15343" max="15343" width="15" style="81" bestFit="1" customWidth="1"/>
    <col min="15344" max="15344" width="16.6640625" style="81" bestFit="1" customWidth="1"/>
    <col min="15345" max="15346" width="13.33203125" style="81" customWidth="1"/>
    <col min="15347" max="15347" width="13" style="81" customWidth="1"/>
    <col min="15348" max="15589" width="11.5546875" style="81"/>
    <col min="15590" max="15590" width="47.33203125" style="81" customWidth="1"/>
    <col min="15591" max="15591" width="23.6640625" style="81" customWidth="1"/>
    <col min="15592" max="15592" width="21.33203125" style="81" customWidth="1"/>
    <col min="15593" max="15593" width="17.5546875" style="81" customWidth="1"/>
    <col min="15594" max="15594" width="16.33203125" style="81" customWidth="1"/>
    <col min="15595" max="15595" width="19.33203125" style="81" customWidth="1"/>
    <col min="15596" max="15597" width="15" style="81" bestFit="1" customWidth="1"/>
    <col min="15598" max="15598" width="11.6640625" style="81" customWidth="1"/>
    <col min="15599" max="15599" width="15" style="81" bestFit="1" customWidth="1"/>
    <col min="15600" max="15600" width="16.6640625" style="81" bestFit="1" customWidth="1"/>
    <col min="15601" max="15602" width="13.33203125" style="81" customWidth="1"/>
    <col min="15603" max="15603" width="13" style="81" customWidth="1"/>
    <col min="15604" max="15845" width="11.5546875" style="81"/>
    <col min="15846" max="15846" width="47.33203125" style="81" customWidth="1"/>
    <col min="15847" max="15847" width="23.6640625" style="81" customWidth="1"/>
    <col min="15848" max="15848" width="21.33203125" style="81" customWidth="1"/>
    <col min="15849" max="15849" width="17.5546875" style="81" customWidth="1"/>
    <col min="15850" max="15850" width="16.33203125" style="81" customWidth="1"/>
    <col min="15851" max="15851" width="19.33203125" style="81" customWidth="1"/>
    <col min="15852" max="15853" width="15" style="81" bestFit="1" customWidth="1"/>
    <col min="15854" max="15854" width="11.6640625" style="81" customWidth="1"/>
    <col min="15855" max="15855" width="15" style="81" bestFit="1" customWidth="1"/>
    <col min="15856" max="15856" width="16.6640625" style="81" bestFit="1" customWidth="1"/>
    <col min="15857" max="15858" width="13.33203125" style="81" customWidth="1"/>
    <col min="15859" max="15859" width="13" style="81" customWidth="1"/>
    <col min="15860" max="16101" width="11.5546875" style="81"/>
    <col min="16102" max="16102" width="47.33203125" style="81" customWidth="1"/>
    <col min="16103" max="16103" width="23.6640625" style="81" customWidth="1"/>
    <col min="16104" max="16104" width="21.33203125" style="81" customWidth="1"/>
    <col min="16105" max="16105" width="17.5546875" style="81" customWidth="1"/>
    <col min="16106" max="16106" width="16.33203125" style="81" customWidth="1"/>
    <col min="16107" max="16107" width="19.33203125" style="81" customWidth="1"/>
    <col min="16108" max="16109" width="15" style="81" bestFit="1" customWidth="1"/>
    <col min="16110" max="16110" width="11.6640625" style="81" customWidth="1"/>
    <col min="16111" max="16111" width="15" style="81" bestFit="1" customWidth="1"/>
    <col min="16112" max="16112" width="16.6640625" style="81" bestFit="1" customWidth="1"/>
    <col min="16113" max="16114" width="13.33203125" style="81" customWidth="1"/>
    <col min="16115" max="16115" width="13" style="81" customWidth="1"/>
    <col min="16116" max="16356" width="11.5546875" style="81"/>
    <col min="16357" max="16384" width="11.44140625" style="81" customWidth="1"/>
  </cols>
  <sheetData>
    <row r="1" spans="2:15" ht="30" customHeight="1" x14ac:dyDescent="0.25">
      <c r="B1" s="78" t="s">
        <v>178</v>
      </c>
      <c r="C1" s="79"/>
      <c r="D1" s="79"/>
      <c r="E1" s="79"/>
      <c r="F1" s="79"/>
      <c r="G1" s="79"/>
      <c r="H1" s="80"/>
      <c r="I1" s="79"/>
      <c r="J1" s="79"/>
      <c r="K1" s="79"/>
    </row>
    <row r="2" spans="2:15" ht="30" customHeight="1" x14ac:dyDescent="0.25">
      <c r="B2" s="78" t="s">
        <v>10</v>
      </c>
      <c r="C2" s="79"/>
      <c r="D2" s="79"/>
      <c r="E2" s="79"/>
      <c r="F2" s="79"/>
      <c r="G2" s="79"/>
      <c r="H2" s="80"/>
      <c r="I2" s="79"/>
      <c r="J2" s="79"/>
      <c r="K2" s="79"/>
    </row>
    <row r="3" spans="2:15" s="83" customFormat="1" ht="45" customHeight="1" x14ac:dyDescent="0.25">
      <c r="B3" s="82" t="s">
        <v>11</v>
      </c>
      <c r="C3" s="111" t="s">
        <v>180</v>
      </c>
      <c r="D3" s="151" t="str">
        <f>VLOOKUP($C$3,donnees_sources_MCO!$B$3:$EC$940,2,FALSE)</f>
        <v>raison sociale</v>
      </c>
      <c r="E3" s="152" t="str">
        <f>IF(VLOOKUP($C$3,donnees_sources_MCO!$B$3:$EC$940,121,FALSE) = 1, "Attention cas particulier (Ne pas se référer aux calculs, cf onglet cas particuliers)", "Cas général")</f>
        <v>Cas général</v>
      </c>
      <c r="F3" s="152"/>
      <c r="G3" s="153"/>
      <c r="J3" s="154"/>
    </row>
    <row r="4" spans="2:15" x14ac:dyDescent="0.25">
      <c r="B4" s="83"/>
      <c r="C4" s="83"/>
      <c r="D4" s="83"/>
      <c r="E4" s="83"/>
      <c r="F4" s="83"/>
      <c r="G4" s="83"/>
      <c r="I4" s="83"/>
      <c r="J4" s="83"/>
      <c r="K4" s="83"/>
    </row>
    <row r="5" spans="2:15" x14ac:dyDescent="0.25">
      <c r="B5" s="3" t="s">
        <v>22</v>
      </c>
      <c r="C5" s="3"/>
      <c r="D5" s="22"/>
      <c r="E5" s="22"/>
      <c r="F5" s="83"/>
      <c r="G5" s="83"/>
      <c r="I5" s="83"/>
      <c r="J5" s="83"/>
      <c r="K5" s="83"/>
    </row>
    <row r="6" spans="2:15" x14ac:dyDescent="0.25">
      <c r="B6" s="84" t="s">
        <v>185</v>
      </c>
      <c r="C6" s="9" t="str">
        <f>VLOOKUP($C$3,donnees_sources_MCO!$B$3:$EC$940,4,FALSE)</f>
        <v>SU</v>
      </c>
      <c r="D6" s="23"/>
      <c r="E6" s="23"/>
      <c r="F6" s="10"/>
      <c r="G6" s="10"/>
      <c r="I6" s="10"/>
      <c r="J6" s="83"/>
      <c r="K6" s="83"/>
    </row>
    <row r="7" spans="2:15" x14ac:dyDescent="0.25">
      <c r="B7" s="84" t="s">
        <v>9</v>
      </c>
      <c r="C7" s="9" t="str">
        <f>VLOOKUP($C$3,donnees_sources_MCO!$B$3:$EC$940,5,FALSE)</f>
        <v>EPS</v>
      </c>
      <c r="D7" s="11"/>
      <c r="E7" s="11"/>
      <c r="F7" s="11"/>
      <c r="G7" s="11"/>
      <c r="I7" s="11"/>
      <c r="J7" s="83"/>
      <c r="K7" s="83"/>
    </row>
    <row r="8" spans="2:15" x14ac:dyDescent="0.25">
      <c r="B8" s="84" t="s">
        <v>144</v>
      </c>
      <c r="C8" s="58">
        <f>VLOOKUP($C$3,donnees_sources_MCO!$B$3:$EC$940,6,FALSE)</f>
        <v>12</v>
      </c>
      <c r="D8" s="83"/>
      <c r="E8" s="83"/>
      <c r="F8" s="83"/>
      <c r="G8" s="83"/>
      <c r="I8" s="83"/>
      <c r="J8" s="83"/>
      <c r="K8" s="83"/>
    </row>
    <row r="9" spans="2:15" s="1" customFormat="1" ht="39.6" x14ac:dyDescent="0.25">
      <c r="B9" s="20"/>
      <c r="C9" s="21"/>
      <c r="D9" s="2"/>
      <c r="E9" s="2"/>
      <c r="F9" s="85" t="s">
        <v>186</v>
      </c>
      <c r="G9" s="2"/>
      <c r="I9" s="2"/>
      <c r="J9" s="2"/>
      <c r="K9" s="2"/>
    </row>
    <row r="10" spans="2:15" ht="26.4" x14ac:dyDescent="0.25">
      <c r="B10" s="37" t="s">
        <v>95</v>
      </c>
      <c r="C10" s="2"/>
      <c r="D10" s="2"/>
      <c r="E10" s="2"/>
      <c r="F10" s="86" t="str">
        <f>IF($F$30=$D$30, "valo","GF")</f>
        <v>GF</v>
      </c>
      <c r="G10" s="2"/>
      <c r="H10" s="87"/>
      <c r="I10" s="2"/>
      <c r="J10" s="2"/>
      <c r="K10" s="2"/>
      <c r="L10" s="87"/>
      <c r="M10" s="87"/>
    </row>
    <row r="11" spans="2:15" s="94" customFormat="1" ht="100.2" customHeight="1" x14ac:dyDescent="0.3">
      <c r="B11" s="88" t="s">
        <v>91</v>
      </c>
      <c r="C11" s="89" t="s">
        <v>168</v>
      </c>
      <c r="D11" s="89" t="s">
        <v>27</v>
      </c>
      <c r="E11" s="89" t="s">
        <v>28</v>
      </c>
      <c r="F11" s="89" t="s">
        <v>21</v>
      </c>
      <c r="G11" s="90" t="s">
        <v>187</v>
      </c>
      <c r="H11" s="91" t="s">
        <v>188</v>
      </c>
      <c r="I11" s="89" t="s">
        <v>189</v>
      </c>
      <c r="J11" s="156" t="s">
        <v>190</v>
      </c>
      <c r="K11" s="89" t="s">
        <v>191</v>
      </c>
      <c r="L11" s="89" t="s">
        <v>147</v>
      </c>
      <c r="M11" s="89" t="s">
        <v>146</v>
      </c>
      <c r="N11" s="93" t="s">
        <v>192</v>
      </c>
      <c r="O11" s="93" t="s">
        <v>193</v>
      </c>
    </row>
    <row r="12" spans="2:15" x14ac:dyDescent="0.25">
      <c r="B12" s="95" t="s">
        <v>0</v>
      </c>
      <c r="C12" s="113">
        <f>VLOOKUP($C$3,donnees_sources_MCO!$B$3:$EC$940,ROW()-5,FALSE)</f>
        <v>16980123.449715547</v>
      </c>
      <c r="D12" s="113">
        <f>VLOOKUP($C$3,donnees_sources_MCO!$B$3:$EC$940,ROW()+17,FALSE)</f>
        <v>79678053.979119971</v>
      </c>
      <c r="E12" s="113">
        <f>VLOOKUP($C$3,donnees_sources_MCO!$B$3:$EC$940,ROW()+39,FALSE)</f>
        <v>84361396.239999995</v>
      </c>
      <c r="F12" s="113">
        <f>IF($F$30=$D$30, D12,E12)</f>
        <v>84361396.239999995</v>
      </c>
      <c r="G12" s="113">
        <f>C12+F12</f>
        <v>101341519.68971553</v>
      </c>
      <c r="H12" s="113">
        <f>G12*(6/$C$8)</f>
        <v>50670759.844857767</v>
      </c>
      <c r="I12" s="113">
        <f>VLOOKUP($C$3,donnees_sources_MCO!$B$3:$EC$940,ROW()+57,FALSE)</f>
        <v>664060.42773817526</v>
      </c>
      <c r="J12" s="24">
        <f>ROUND(IF($C$7="EPS",IF($C$6="SU",Taux!$B$9,Taux!$B$10), IF($C$6="SU",Taux!$C$9,Taux!$C$10)),4)</f>
        <v>5.1499999999999997E-2</v>
      </c>
      <c r="K12" s="117">
        <f>(H12+I12+H20+I20)*(1+J12)</f>
        <v>53996691.948170222</v>
      </c>
      <c r="L12" s="113">
        <f>VLOOKUP($C$3,donnees_sources_MCO!$B$3:$EC$940,ROW()+71,FALSE)</f>
        <v>8438895</v>
      </c>
      <c r="M12" s="113">
        <f>VLOOKUP($C$3,donnees_sources_MCO!$B$3:$EC$940,ROW()+71,FALSE)</f>
        <v>8438895</v>
      </c>
      <c r="N12" s="113">
        <f>IF(K12-L12-M12&gt;0,ROUND((K12-L12-M12)/4,0), (K12-L12-M12)/4)</f>
        <v>9279725</v>
      </c>
      <c r="O12" s="113">
        <f>L12+M12+4*N12</f>
        <v>53996690</v>
      </c>
    </row>
    <row r="13" spans="2:15" x14ac:dyDescent="0.25">
      <c r="B13" s="95" t="s">
        <v>1</v>
      </c>
      <c r="C13" s="113">
        <f>VLOOKUP($C$3,donnees_sources_MCO!$B$3:$EC$940,ROW()-5,FALSE)</f>
        <v>0</v>
      </c>
      <c r="D13" s="113">
        <f>VLOOKUP($C$3,donnees_sources_MCO!$B$3:$EC$940,ROW()+17,FALSE)</f>
        <v>7361.48</v>
      </c>
      <c r="E13" s="113">
        <f>VLOOKUP($C$3,donnees_sources_MCO!$B$3:$EC$940,ROW()+39,FALSE)</f>
        <v>19356.830000000002</v>
      </c>
      <c r="F13" s="113">
        <f t="shared" ref="F13:F23" si="0">IF($F$30=$D$30, D13,E13)</f>
        <v>19356.830000000002</v>
      </c>
      <c r="G13" s="113">
        <f t="shared" ref="G13:G23" si="1">C13+F13</f>
        <v>19356.830000000002</v>
      </c>
      <c r="H13" s="113">
        <f t="shared" ref="H13:H23" si="2">G13*(6/$C$8)</f>
        <v>9678.4150000000009</v>
      </c>
      <c r="I13" s="113">
        <f>VLOOKUP($C$3,donnees_sources_MCO!$B$3:$EC$940,ROW()+57,FALSE)</f>
        <v>126.83947160859105</v>
      </c>
      <c r="J13" s="24">
        <f>ROUND(IF($C$7="EPS",Taux!$B$11,Taux!$C$11), 4)</f>
        <v>4.48E-2</v>
      </c>
      <c r="K13" s="117">
        <f t="shared" ref="K13:K21" si="3">(H13+I13)*(1+J13)</f>
        <v>10244.529871936656</v>
      </c>
      <c r="L13" s="113">
        <f>VLOOKUP($C$3,donnees_sources_MCO!$B$3:$EC$940,ROW()+71,FALSE)</f>
        <v>1936</v>
      </c>
      <c r="M13" s="113">
        <f>VLOOKUP($C$3,donnees_sources_MCO!$B$3:$EC$940,ROW()+71,FALSE)</f>
        <v>1936</v>
      </c>
      <c r="N13" s="113">
        <f t="shared" ref="N13:N28" si="4">IF(K13-L13-M13&gt;0,ROUND((K13-L13-M13)/4,0), (K13-L13-M13)/4)</f>
        <v>1593</v>
      </c>
      <c r="O13" s="113">
        <f t="shared" ref="O13:O23" si="5">L13+M13+4*N13</f>
        <v>10244</v>
      </c>
    </row>
    <row r="14" spans="2:15" x14ac:dyDescent="0.25">
      <c r="B14" s="95" t="s">
        <v>2</v>
      </c>
      <c r="C14" s="113">
        <f>VLOOKUP($C$3,donnees_sources_MCO!$B$3:$EC$940,ROW()-5,FALSE)</f>
        <v>24949.861999999994</v>
      </c>
      <c r="D14" s="113">
        <f>VLOOKUP($C$3,donnees_sources_MCO!$B$3:$EC$940,ROW()+17,FALSE)</f>
        <v>130326.71200000048</v>
      </c>
      <c r="E14" s="113">
        <f>VLOOKUP($C$3,donnees_sources_MCO!$B$3:$EC$940,ROW()+39,FALSE)</f>
        <v>116099.18</v>
      </c>
      <c r="F14" s="113">
        <f t="shared" si="0"/>
        <v>116099.18</v>
      </c>
      <c r="G14" s="113">
        <f t="shared" si="1"/>
        <v>141049.04199999999</v>
      </c>
      <c r="H14" s="113">
        <f t="shared" si="2"/>
        <v>70524.520999999993</v>
      </c>
      <c r="I14" s="113">
        <f>VLOOKUP($C$3,donnees_sources_MCO!$B$3:$EC$940,ROW()+57,FALSE)</f>
        <v>941.42447718463575</v>
      </c>
      <c r="J14" s="24">
        <f>ROUND(IF($C$7="EPS",Taux!$B$12,Taux!$C$12), 4)</f>
        <v>0</v>
      </c>
      <c r="K14" s="117">
        <f>(H14+I14)*(1+J14)</f>
        <v>71465.945477184636</v>
      </c>
      <c r="L14" s="113">
        <f>VLOOKUP($C$3,donnees_sources_MCO!$B$3:$EC$940,ROW()+71,FALSE)</f>
        <v>11610</v>
      </c>
      <c r="M14" s="113">
        <f>VLOOKUP($C$3,donnees_sources_MCO!$B$3:$EC$940,ROW()+71,FALSE)</f>
        <v>11610</v>
      </c>
      <c r="N14" s="113">
        <f t="shared" si="4"/>
        <v>12061</v>
      </c>
      <c r="O14" s="113">
        <f t="shared" si="5"/>
        <v>71464</v>
      </c>
    </row>
    <row r="15" spans="2:15" x14ac:dyDescent="0.25">
      <c r="B15" s="95" t="s">
        <v>3</v>
      </c>
      <c r="C15" s="113">
        <f>VLOOKUP($C$3,donnees_sources_MCO!$B$3:$EC$940,ROW()-5,FALSE)</f>
        <v>74670.52</v>
      </c>
      <c r="D15" s="113">
        <f>VLOOKUP($C$3,donnees_sources_MCO!$B$3:$EC$940,ROW()+17,FALSE)</f>
        <v>389557.41000000003</v>
      </c>
      <c r="E15" s="113">
        <f>VLOOKUP($C$3,donnees_sources_MCO!$B$3:$EC$940,ROW()+39,FALSE)</f>
        <v>321638.21000000002</v>
      </c>
      <c r="F15" s="113">
        <f t="shared" si="0"/>
        <v>321638.21000000002</v>
      </c>
      <c r="G15" s="113">
        <f t="shared" si="1"/>
        <v>396308.73000000004</v>
      </c>
      <c r="H15" s="113">
        <f t="shared" si="2"/>
        <v>198154.36500000002</v>
      </c>
      <c r="I15" s="113">
        <f>VLOOKUP($C$3,donnees_sources_MCO!$B$3:$EC$940,ROW()+57,FALSE)</f>
        <v>2596.8916349976612</v>
      </c>
      <c r="J15" s="24">
        <f>ROUND(IF($C$7="EPS",Taux!$B$13,Taux!$C$13), 4)</f>
        <v>4.4499999999999998E-2</v>
      </c>
      <c r="K15" s="117">
        <f t="shared" si="3"/>
        <v>209684.68755525505</v>
      </c>
      <c r="L15" s="113">
        <f>VLOOKUP($C$3,donnees_sources_MCO!$B$3:$EC$940,ROW()+71,FALSE)</f>
        <v>32164</v>
      </c>
      <c r="M15" s="113">
        <f>VLOOKUP($C$3,donnees_sources_MCO!$B$3:$EC$940,ROW()+71,FALSE)</f>
        <v>32164</v>
      </c>
      <c r="N15" s="113">
        <f t="shared" si="4"/>
        <v>36339</v>
      </c>
      <c r="O15" s="113">
        <f t="shared" si="5"/>
        <v>209684</v>
      </c>
    </row>
    <row r="16" spans="2:15" x14ac:dyDescent="0.25">
      <c r="B16" s="95" t="s">
        <v>4</v>
      </c>
      <c r="C16" s="113">
        <f>VLOOKUP($C$3,donnees_sources_MCO!$B$3:$EC$940,ROW()-5,FALSE)</f>
        <v>0</v>
      </c>
      <c r="D16" s="113">
        <f>VLOOKUP($C$3,donnees_sources_MCO!$B$3:$EC$940,ROW()+17,FALSE)</f>
        <v>0</v>
      </c>
      <c r="E16" s="113">
        <f>VLOOKUP($C$3,donnees_sources_MCO!$B$3:$EC$940,ROW()+39,FALSE)</f>
        <v>0</v>
      </c>
      <c r="F16" s="113">
        <f t="shared" si="0"/>
        <v>0</v>
      </c>
      <c r="G16" s="113">
        <f t="shared" si="1"/>
        <v>0</v>
      </c>
      <c r="H16" s="113">
        <f t="shared" si="2"/>
        <v>0</v>
      </c>
      <c r="I16" s="113">
        <f>VLOOKUP($C$3,donnees_sources_MCO!$B$3:$EC$940,ROW()+57,FALSE)</f>
        <v>0</v>
      </c>
      <c r="J16" s="24">
        <f>ROUND(IF($C$7="EPS",Taux!$B$14,Taux!$C$14), 4)</f>
        <v>5.7200000000000001E-2</v>
      </c>
      <c r="K16" s="117">
        <f t="shared" si="3"/>
        <v>0</v>
      </c>
      <c r="L16" s="113">
        <f>VLOOKUP($C$3,donnees_sources_MCO!$B$3:$EC$940,ROW()+71,FALSE)</f>
        <v>0</v>
      </c>
      <c r="M16" s="113">
        <f>VLOOKUP($C$3,donnees_sources_MCO!$B$3:$EC$940,ROW()+71,FALSE)</f>
        <v>0</v>
      </c>
      <c r="N16" s="113">
        <f t="shared" si="4"/>
        <v>0</v>
      </c>
      <c r="O16" s="113">
        <f t="shared" si="5"/>
        <v>0</v>
      </c>
    </row>
    <row r="17" spans="2:15" x14ac:dyDescent="0.25">
      <c r="B17" s="95" t="s">
        <v>5</v>
      </c>
      <c r="C17" s="113">
        <f>VLOOKUP($C$3,donnees_sources_MCO!$B$3:$EC$940,ROW()-5,FALSE)</f>
        <v>149534.27632000286</v>
      </c>
      <c r="D17" s="113">
        <f>VLOOKUP($C$3,donnees_sources_MCO!$B$3:$EC$940,ROW()+17,FALSE)</f>
        <v>495340.72920012724</v>
      </c>
      <c r="E17" s="113">
        <f>VLOOKUP($C$3,donnees_sources_MCO!$B$3:$EC$940,ROW()+39,FALSE)</f>
        <v>748142.31</v>
      </c>
      <c r="F17" s="113">
        <f t="shared" si="0"/>
        <v>748142.31</v>
      </c>
      <c r="G17" s="113">
        <f t="shared" si="1"/>
        <v>897676.58632000291</v>
      </c>
      <c r="H17" s="113">
        <f t="shared" si="2"/>
        <v>448838.29316000146</v>
      </c>
      <c r="I17" s="113">
        <f>VLOOKUP($C$3,donnees_sources_MCO!$B$3:$EC$940,ROW()+57,FALSE)</f>
        <v>5991.4955746895275</v>
      </c>
      <c r="J17" s="24">
        <f>ROUND(IF($C$7="EPS",Taux!$B$15,Taux!$C$15), 4)</f>
        <v>4.48E-2</v>
      </c>
      <c r="K17" s="117">
        <f t="shared" si="3"/>
        <v>475206.16327000514</v>
      </c>
      <c r="L17" s="113">
        <f>VLOOKUP($C$3,donnees_sources_MCO!$B$3:$EC$940,ROW()+71,FALSE)</f>
        <v>74814</v>
      </c>
      <c r="M17" s="113">
        <f>VLOOKUP($C$3,donnees_sources_MCO!$B$3:$EC$940,ROW()+71,FALSE)</f>
        <v>74814</v>
      </c>
      <c r="N17" s="113">
        <f t="shared" si="4"/>
        <v>81395</v>
      </c>
      <c r="O17" s="113">
        <f t="shared" si="5"/>
        <v>475208</v>
      </c>
    </row>
    <row r="18" spans="2:15" x14ac:dyDescent="0.25">
      <c r="B18" s="95" t="s">
        <v>6</v>
      </c>
      <c r="C18" s="113">
        <f>VLOOKUP($C$3,donnees_sources_MCO!$B$3:$EC$940,ROW()-5,FALSE)</f>
        <v>0</v>
      </c>
      <c r="D18" s="113">
        <f>VLOOKUP($C$3,donnees_sources_MCO!$B$3:$EC$940,ROW()+17,FALSE)</f>
        <v>0</v>
      </c>
      <c r="E18" s="113">
        <f>VLOOKUP($C$3,donnees_sources_MCO!$B$3:$EC$940,ROW()+39,FALSE)</f>
        <v>0</v>
      </c>
      <c r="F18" s="113">
        <f t="shared" si="0"/>
        <v>0</v>
      </c>
      <c r="G18" s="113">
        <f t="shared" si="1"/>
        <v>0</v>
      </c>
      <c r="H18" s="113">
        <f t="shared" si="2"/>
        <v>0</v>
      </c>
      <c r="I18" s="113">
        <f>VLOOKUP($C$3,donnees_sources_MCO!$B$3:$EC$940,ROW()+57,FALSE)</f>
        <v>0</v>
      </c>
      <c r="J18" s="24">
        <f>ROUND(IF($C$7="EPS",Taux!$B$16,Taux!$C$16), 4)</f>
        <v>4.48E-2</v>
      </c>
      <c r="K18" s="117">
        <f t="shared" si="3"/>
        <v>0</v>
      </c>
      <c r="L18" s="113">
        <f>VLOOKUP($C$3,donnees_sources_MCO!$B$3:$EC$940,ROW()+71,FALSE)</f>
        <v>0</v>
      </c>
      <c r="M18" s="113">
        <f>VLOOKUP($C$3,donnees_sources_MCO!$B$3:$EC$940,ROW()+71,FALSE)</f>
        <v>0</v>
      </c>
      <c r="N18" s="113">
        <f t="shared" si="4"/>
        <v>0</v>
      </c>
      <c r="O18" s="113">
        <f>L18+M18+4*N18</f>
        <v>0</v>
      </c>
    </row>
    <row r="19" spans="2:15" x14ac:dyDescent="0.25">
      <c r="B19" s="95" t="s">
        <v>7</v>
      </c>
      <c r="C19" s="113">
        <f>VLOOKUP($C$3,donnees_sources_MCO!$B$3:$EC$940,ROW()-5,FALSE)</f>
        <v>32892.275999999998</v>
      </c>
      <c r="D19" s="113">
        <f>VLOOKUP($C$3,donnees_sources_MCO!$B$3:$EC$940,ROW()+17,FALSE)</f>
        <v>91354.573999998058</v>
      </c>
      <c r="E19" s="113">
        <f>VLOOKUP($C$3,donnees_sources_MCO!$B$3:$EC$940,ROW()+39,FALSE)</f>
        <v>153438.98000000001</v>
      </c>
      <c r="F19" s="113">
        <f t="shared" si="0"/>
        <v>153438.98000000001</v>
      </c>
      <c r="G19" s="113">
        <f t="shared" si="1"/>
        <v>186331.25599999999</v>
      </c>
      <c r="H19" s="113">
        <f t="shared" si="2"/>
        <v>93165.627999999997</v>
      </c>
      <c r="I19" s="113">
        <f>VLOOKUP($C$3,donnees_sources_MCO!$B$3:$EC$940,ROW()+57,FALSE)</f>
        <v>1243.6582537225352</v>
      </c>
      <c r="J19" s="24">
        <f>ROUND(IF($C$7="EPS",Taux!$B$17,Taux!$C$17), 4)</f>
        <v>4.48E-2</v>
      </c>
      <c r="K19" s="117">
        <f t="shared" si="3"/>
        <v>98638.822277889296</v>
      </c>
      <c r="L19" s="113">
        <f>VLOOKUP($C$3,donnees_sources_MCO!$B$3:$EC$940,ROW()+71,FALSE)</f>
        <v>15344</v>
      </c>
      <c r="M19" s="113">
        <f>VLOOKUP($C$3,donnees_sources_MCO!$B$3:$EC$940,ROW()+71,FALSE)</f>
        <v>15344</v>
      </c>
      <c r="N19" s="113">
        <f t="shared" si="4"/>
        <v>16988</v>
      </c>
      <c r="O19" s="113">
        <f t="shared" si="5"/>
        <v>98640</v>
      </c>
    </row>
    <row r="20" spans="2:15" x14ac:dyDescent="0.25">
      <c r="B20" s="95" t="s">
        <v>8</v>
      </c>
      <c r="C20" s="113">
        <f>VLOOKUP($C$3,donnees_sources_MCO!$B$3:$EC$940,ROW()-5,FALSE)</f>
        <v>6470.6759999999986</v>
      </c>
      <c r="D20" s="113">
        <f>VLOOKUP($C$3,donnees_sources_MCO!$B$3:$EC$940,ROW()+17,FALSE)</f>
        <v>0</v>
      </c>
      <c r="E20" s="113">
        <f>VLOOKUP($C$3,donnees_sources_MCO!$B$3:$EC$940,ROW()+39,FALSE)</f>
        <v>27556.19</v>
      </c>
      <c r="F20" s="113">
        <f t="shared" si="0"/>
        <v>27556.19</v>
      </c>
      <c r="G20" s="113">
        <f t="shared" si="1"/>
        <v>34026.865999999995</v>
      </c>
      <c r="H20" s="113">
        <f t="shared" si="2"/>
        <v>17013.432999999997</v>
      </c>
      <c r="I20" s="113">
        <f>VLOOKUP($C$3,donnees_sources_MCO!$B$3:$EC$940,ROW()+57,FALSE)</f>
        <v>227.11054311366155</v>
      </c>
      <c r="J20" s="70"/>
      <c r="K20" s="118"/>
      <c r="L20" s="119"/>
      <c r="M20" s="119"/>
      <c r="N20" s="119"/>
      <c r="O20" s="119"/>
    </row>
    <row r="21" spans="2:15" x14ac:dyDescent="0.25">
      <c r="B21" s="95" t="s">
        <v>12</v>
      </c>
      <c r="C21" s="113">
        <f>VLOOKUP($C$3,donnees_sources_MCO!$B$3:$EC$940,ROW()-5,FALSE)</f>
        <v>548912.20305699215</v>
      </c>
      <c r="D21" s="113">
        <f>VLOOKUP($C$3,donnees_sources_MCO!$B$3:$EC$940,ROW()+17,FALSE)</f>
        <v>1902208.9317690826</v>
      </c>
      <c r="E21" s="113">
        <f>VLOOKUP($C$3,donnees_sources_MCO!$B$3:$EC$940,ROW()+39,FALSE)</f>
        <v>2575379.64</v>
      </c>
      <c r="F21" s="113">
        <f t="shared" si="0"/>
        <v>2575379.64</v>
      </c>
      <c r="G21" s="113">
        <f t="shared" si="1"/>
        <v>3124291.8430569922</v>
      </c>
      <c r="H21" s="113">
        <f t="shared" si="2"/>
        <v>1562145.9215284961</v>
      </c>
      <c r="I21" s="113">
        <f>VLOOKUP($C$3,donnees_sources_MCO!$B$3:$EC$940,ROW()+57,FALSE)</f>
        <v>20196.193057134325</v>
      </c>
      <c r="J21" s="24">
        <f>ROUND(IF($C$7="EPS",Taux!$B$18,Taux!$C$18), 4)</f>
        <v>0</v>
      </c>
      <c r="K21" s="117">
        <f t="shared" si="3"/>
        <v>1582342.1145856304</v>
      </c>
      <c r="L21" s="113">
        <f>VLOOKUP($C$3,donnees_sources_MCO!$B$3:$EC$940,ROW()+70,FALSE)</f>
        <v>257538</v>
      </c>
      <c r="M21" s="113">
        <f>VLOOKUP($C$3,donnees_sources_MCO!$B$3:$EC$940,ROW()+70,FALSE)</f>
        <v>257538</v>
      </c>
      <c r="N21" s="113">
        <f t="shared" si="4"/>
        <v>266817</v>
      </c>
      <c r="O21" s="113">
        <f t="shared" si="5"/>
        <v>1582344</v>
      </c>
    </row>
    <row r="22" spans="2:15" x14ac:dyDescent="0.25">
      <c r="B22" s="95" t="s">
        <v>59</v>
      </c>
      <c r="C22" s="113">
        <f>VLOOKUP($C$3,donnees_sources_MCO!$B$3:$EC$940,ROW()-5,FALSE)</f>
        <v>0</v>
      </c>
      <c r="D22" s="113">
        <f>VLOOKUP($C$3,donnees_sources_MCO!$B$3:$EC$940,ROW()+17,FALSE)</f>
        <v>0</v>
      </c>
      <c r="E22" s="113">
        <f>VLOOKUP($C$3,donnees_sources_MCO!$B$3:$EC$940,ROW()+39,FALSE)</f>
        <v>0</v>
      </c>
      <c r="F22" s="113">
        <f t="shared" si="0"/>
        <v>0</v>
      </c>
      <c r="G22" s="113">
        <f t="shared" si="1"/>
        <v>0</v>
      </c>
      <c r="H22" s="113">
        <f t="shared" si="2"/>
        <v>0</v>
      </c>
      <c r="I22" s="113">
        <v>0</v>
      </c>
      <c r="J22" s="24">
        <f>ROUND(IF($C$7="EPS",Taux!$B$20,Taux!$C$20), 4)</f>
        <v>0</v>
      </c>
      <c r="K22" s="117">
        <v>0</v>
      </c>
      <c r="L22" s="113">
        <f>VLOOKUP($C$3,donnees_sources_MCO!$B$3:$EC$940,ROW()+70,FALSE)</f>
        <v>0</v>
      </c>
      <c r="M22" s="113">
        <f>VLOOKUP($C$3,donnees_sources_MCO!$B$3:$EC$940,ROW()+70,FALSE)</f>
        <v>0</v>
      </c>
      <c r="N22" s="113">
        <f t="shared" si="4"/>
        <v>0</v>
      </c>
      <c r="O22" s="113">
        <f t="shared" si="5"/>
        <v>0</v>
      </c>
    </row>
    <row r="23" spans="2:15" x14ac:dyDescent="0.25">
      <c r="B23" s="95" t="s">
        <v>58</v>
      </c>
      <c r="C23" s="113">
        <f>VLOOKUP($C$3,donnees_sources_MCO!$B$3:$EC$940,ROW()-5,FALSE)</f>
        <v>4361.5</v>
      </c>
      <c r="D23" s="113">
        <f>VLOOKUP($C$3,donnees_sources_MCO!$B$3:$EC$940,ROW()+17,FALSE)</f>
        <v>0</v>
      </c>
      <c r="E23" s="113">
        <f>VLOOKUP($C$3,donnees_sources_MCO!$B$3:$EC$940,ROW()+39,FALSE)</f>
        <v>22294.01</v>
      </c>
      <c r="F23" s="113">
        <f t="shared" si="0"/>
        <v>22294.01</v>
      </c>
      <c r="G23" s="113">
        <f t="shared" si="1"/>
        <v>26655.51</v>
      </c>
      <c r="H23" s="113">
        <f t="shared" si="2"/>
        <v>13327.754999999999</v>
      </c>
      <c r="I23" s="113">
        <v>0</v>
      </c>
      <c r="J23" s="24">
        <f>ROUND(IF($C$7="EPS",Taux!$B$20,Taux!$C$20), 4)</f>
        <v>0</v>
      </c>
      <c r="K23" s="117">
        <v>0</v>
      </c>
      <c r="L23" s="113">
        <f>VLOOKUP($C$3,donnees_sources_MCO!$B$3:$EC$940,ROW()+70,FALSE)</f>
        <v>2229</v>
      </c>
      <c r="M23" s="113">
        <f>VLOOKUP($C$3,donnees_sources_MCO!$B$3:$EC$940,ROW()+70,FALSE)</f>
        <v>2229</v>
      </c>
      <c r="N23" s="113">
        <f t="shared" si="4"/>
        <v>-1114.5</v>
      </c>
      <c r="O23" s="113">
        <f t="shared" si="5"/>
        <v>0</v>
      </c>
    </row>
    <row r="24" spans="2:15" x14ac:dyDescent="0.25">
      <c r="B24" s="96" t="s">
        <v>26</v>
      </c>
      <c r="C24" s="114">
        <f>SUM(C12:C23)</f>
        <v>17821914.76309254</v>
      </c>
      <c r="D24" s="114">
        <f t="shared" ref="D24:O24" si="6">SUM(D12:D23)</f>
        <v>82694203.816089183</v>
      </c>
      <c r="E24" s="114">
        <f t="shared" si="6"/>
        <v>88345301.590000004</v>
      </c>
      <c r="F24" s="114">
        <f t="shared" si="6"/>
        <v>88345301.590000004</v>
      </c>
      <c r="G24" s="114">
        <f t="shared" si="6"/>
        <v>106167216.35309252</v>
      </c>
      <c r="H24" s="114">
        <f t="shared" si="6"/>
        <v>53083608.176546261</v>
      </c>
      <c r="I24" s="114">
        <f>SUM(I12:I23)</f>
        <v>695384.04075062624</v>
      </c>
      <c r="J24" s="25"/>
      <c r="K24" s="114">
        <f t="shared" si="6"/>
        <v>56444274.21120812</v>
      </c>
      <c r="L24" s="114">
        <f>SUM(L12:L23)</f>
        <v>8834530</v>
      </c>
      <c r="M24" s="114">
        <f>SUM(M12:M23)</f>
        <v>8834530</v>
      </c>
      <c r="N24" s="114">
        <f t="shared" si="6"/>
        <v>9693803.5</v>
      </c>
      <c r="O24" s="114">
        <f t="shared" si="6"/>
        <v>56444274</v>
      </c>
    </row>
    <row r="25" spans="2:15" x14ac:dyDescent="0.25">
      <c r="B25" s="96" t="s">
        <v>13</v>
      </c>
      <c r="C25" s="114">
        <f>VLOOKUP($C$3,donnees_sources_MCO!$B$3:$EC$940,ROW()-6,FALSE)</f>
        <v>18863.688000000002</v>
      </c>
      <c r="D25" s="114">
        <f>VLOOKUP($C$3,donnees_sources_MCO!$B$3:$EC$940,ROW()+16,FALSE)</f>
        <v>60014.687999999995</v>
      </c>
      <c r="E25" s="114">
        <f>VLOOKUP($C$3,donnees_sources_MCO!$B$3:$EC$940,ROW()+38,FALSE)</f>
        <v>109851.4</v>
      </c>
      <c r="F25" s="114">
        <f>IF($F$30=$D$30, D25,E25)</f>
        <v>109851.4</v>
      </c>
      <c r="G25" s="114">
        <f>C25+F25</f>
        <v>128715.08799999999</v>
      </c>
      <c r="H25" s="114">
        <f>G25*(6/$C$8)</f>
        <v>64357.543999999994</v>
      </c>
      <c r="I25" s="114">
        <v>0</v>
      </c>
      <c r="J25" s="26">
        <f>ROUND(IF($C$7="EPS",IF($C$6="SU",Taux!$B$9,Taux!$B$10), IF($C$6="SU",Taux!$C$9,Taux!$C$10)),4)</f>
        <v>5.1499999999999997E-2</v>
      </c>
      <c r="K25" s="120">
        <f>(H25+I25)*(1+J25)</f>
        <v>67671.957515999995</v>
      </c>
      <c r="L25" s="114">
        <f>VLOOKUP($C$3,donnees_sources_MCO!$B$3:$EC$940,ROW()+69,FALSE)</f>
        <v>10985</v>
      </c>
      <c r="M25" s="114">
        <f>VLOOKUP($C$3,donnees_sources_MCO!$B$3:$EC$940,ROW()+69,FALSE)</f>
        <v>10985</v>
      </c>
      <c r="N25" s="114">
        <f t="shared" si="4"/>
        <v>11425</v>
      </c>
      <c r="O25" s="114">
        <f>L25+M25+4*N25</f>
        <v>67670</v>
      </c>
    </row>
    <row r="26" spans="2:15" x14ac:dyDescent="0.25">
      <c r="B26" s="96" t="s">
        <v>14</v>
      </c>
      <c r="C26" s="114">
        <f>VLOOKUP($C$3,donnees_sources_MCO!$B$3:$EC$940,ROW()-6,FALSE)</f>
        <v>0</v>
      </c>
      <c r="D26" s="114">
        <f>VLOOKUP($C$3,donnees_sources_MCO!$B$3:$EC$940,ROW()+16,FALSE)</f>
        <v>0</v>
      </c>
      <c r="E26" s="114">
        <f>VLOOKUP($C$3,donnees_sources_MCO!$B$3:$EC$940,ROW()+38,FALSE)</f>
        <v>0</v>
      </c>
      <c r="F26" s="114">
        <f>IF($F$30=$D$30, D26,E26)</f>
        <v>0</v>
      </c>
      <c r="G26" s="114">
        <f>C26+F26</f>
        <v>0</v>
      </c>
      <c r="H26" s="114">
        <f>G26*(6/$C$8)</f>
        <v>0</v>
      </c>
      <c r="I26" s="114">
        <v>0</v>
      </c>
      <c r="J26" s="26">
        <f>ROUND(IF($C$7="EPS",IF($C$6="SU",Taux!$B$9,Taux!$B$10), IF($C$6="SU",Taux!$C$9,Taux!$C$10)),4)</f>
        <v>5.1499999999999997E-2</v>
      </c>
      <c r="K26" s="120">
        <f>(H26+I26)*(1+J26)</f>
        <v>0</v>
      </c>
      <c r="L26" s="114">
        <f>VLOOKUP($C$3,donnees_sources_MCO!$B$3:$EC$940,ROW()+69,FALSE)</f>
        <v>0</v>
      </c>
      <c r="M26" s="114">
        <f>VLOOKUP($C$3,donnees_sources_MCO!$B$3:$EC$940,ROW()+69,FALSE)</f>
        <v>0</v>
      </c>
      <c r="N26" s="114">
        <f t="shared" si="4"/>
        <v>0</v>
      </c>
      <c r="O26" s="114">
        <f>L26+M26+4*N26</f>
        <v>0</v>
      </c>
    </row>
    <row r="27" spans="2:15" x14ac:dyDescent="0.25">
      <c r="B27" s="95" t="s">
        <v>15</v>
      </c>
      <c r="C27" s="113">
        <f>VLOOKUP($C$3,donnees_sources_MCO!$B$3:$EC$940,ROW()-6,FALSE)</f>
        <v>3669.5800000000008</v>
      </c>
      <c r="D27" s="113">
        <f>VLOOKUP($C$3,donnees_sources_MCO!$B$3:$EC$940,ROW()+16,FALSE)</f>
        <v>7265.5399999999991</v>
      </c>
      <c r="E27" s="113">
        <f>VLOOKUP($C$3,donnees_sources_MCO!$B$3:$EC$940,ROW()+38,FALSE)</f>
        <v>8426.65</v>
      </c>
      <c r="F27" s="113">
        <f>IF($F$30=$D$30, D27,E27)</f>
        <v>8426.65</v>
      </c>
      <c r="G27" s="113">
        <f>C27+F27</f>
        <v>12096.23</v>
      </c>
      <c r="H27" s="113">
        <f>G27*(6/$C$8)</f>
        <v>6048.1149999999998</v>
      </c>
      <c r="I27" s="113">
        <v>0</v>
      </c>
      <c r="J27" s="24">
        <f>ROUND(IF($C$7="EPS",IF($C$6="SU",Taux!$B$9,Taux!$B$10), IF($C$6="SU",Taux!$C$9,Taux!$C$10)),4)</f>
        <v>5.1499999999999997E-2</v>
      </c>
      <c r="K27" s="117">
        <f t="shared" ref="K27:K28" si="7">(H27+I27)*(1+J27)</f>
        <v>6359.5929225</v>
      </c>
      <c r="L27" s="113">
        <f>VLOOKUP($C$3,donnees_sources_MCO!$B$3:$EC$940,ROW()+69,FALSE)</f>
        <v>843</v>
      </c>
      <c r="M27" s="113">
        <f>VLOOKUP($C$3,donnees_sources_MCO!$B$3:$EC$940,ROW()+69,FALSE)</f>
        <v>843</v>
      </c>
      <c r="N27" s="113">
        <f t="shared" si="4"/>
        <v>1168</v>
      </c>
      <c r="O27" s="113">
        <f>L27+M27+4*N27</f>
        <v>6358</v>
      </c>
    </row>
    <row r="28" spans="2:15" x14ac:dyDescent="0.25">
      <c r="B28" s="97" t="s">
        <v>16</v>
      </c>
      <c r="C28" s="113">
        <f>VLOOKUP($C$3,donnees_sources_MCO!$B$3:$EC$940,ROW()-6,FALSE)</f>
        <v>201.63516299999998</v>
      </c>
      <c r="D28" s="113">
        <f>VLOOKUP($C$3,donnees_sources_MCO!$B$3:$EC$940,ROW()+16,FALSE)</f>
        <v>697.91967199999999</v>
      </c>
      <c r="E28" s="113">
        <f>VLOOKUP($C$3,donnees_sources_MCO!$B$3:$EC$940,ROW()+38,FALSE)</f>
        <v>935.78</v>
      </c>
      <c r="F28" s="113">
        <f>IF($F$30=$D$30, D28,E28)</f>
        <v>935.78</v>
      </c>
      <c r="G28" s="113">
        <f>C28+F28</f>
        <v>1137.4151629999999</v>
      </c>
      <c r="H28" s="113">
        <f>G28*(6/$C$8)</f>
        <v>568.70758149999995</v>
      </c>
      <c r="I28" s="113">
        <v>0</v>
      </c>
      <c r="J28" s="24">
        <f>ROUND(IF($C$7="EPS",Taux!$B$18,Taux!$C$18), 4)</f>
        <v>0</v>
      </c>
      <c r="K28" s="117">
        <f t="shared" si="7"/>
        <v>568.70758149999995</v>
      </c>
      <c r="L28" s="113">
        <f>VLOOKUP($C$3,donnees_sources_MCO!$B$3:$EC$940,ROW()+69,FALSE)</f>
        <v>94</v>
      </c>
      <c r="M28" s="113">
        <f>VLOOKUP($C$3,donnees_sources_MCO!$B$3:$EC$940,ROW()+69,FALSE)</f>
        <v>94</v>
      </c>
      <c r="N28" s="113">
        <f t="shared" si="4"/>
        <v>95</v>
      </c>
      <c r="O28" s="113">
        <f>L28+M28+4*N28</f>
        <v>568</v>
      </c>
    </row>
    <row r="29" spans="2:15" x14ac:dyDescent="0.25">
      <c r="B29" s="98" t="s">
        <v>25</v>
      </c>
      <c r="C29" s="115">
        <f>SUM(C27:C28)</f>
        <v>3871.2151630000008</v>
      </c>
      <c r="D29" s="115">
        <f t="shared" ref="D29:O29" si="8">SUM(D27:D28)</f>
        <v>7963.459671999999</v>
      </c>
      <c r="E29" s="115">
        <f t="shared" si="8"/>
        <v>9362.43</v>
      </c>
      <c r="F29" s="115">
        <f t="shared" si="8"/>
        <v>9362.43</v>
      </c>
      <c r="G29" s="115">
        <f t="shared" si="8"/>
        <v>13233.645162999999</v>
      </c>
      <c r="H29" s="115">
        <f t="shared" si="8"/>
        <v>6616.8225814999996</v>
      </c>
      <c r="I29" s="115">
        <f t="shared" si="8"/>
        <v>0</v>
      </c>
      <c r="J29" s="27"/>
      <c r="K29" s="115">
        <f t="shared" si="8"/>
        <v>6928.3005039999998</v>
      </c>
      <c r="L29" s="115">
        <f t="shared" si="8"/>
        <v>937</v>
      </c>
      <c r="M29" s="115">
        <f t="shared" si="8"/>
        <v>937</v>
      </c>
      <c r="N29" s="115">
        <f t="shared" si="8"/>
        <v>1263</v>
      </c>
      <c r="O29" s="115">
        <f t="shared" si="8"/>
        <v>6926</v>
      </c>
    </row>
    <row r="30" spans="2:15" x14ac:dyDescent="0.25">
      <c r="B30" s="99" t="s">
        <v>24</v>
      </c>
      <c r="C30" s="116">
        <f>VLOOKUP($C$3,donnees_sources_MCO!$B$3:$EC$940,ROW()-7,FALSE)</f>
        <v>17844649.666255541</v>
      </c>
      <c r="D30" s="116">
        <f>VLOOKUP($C$3,donnees_sources_MCO!$B$3:$EC$940,ROW()+15,FALSE)</f>
        <v>82762181.963761181</v>
      </c>
      <c r="E30" s="116">
        <f>VLOOKUP($C$3,donnees_sources_MCO!$B$3:$EC$940,ROW()+37,FALSE)</f>
        <v>88464515.420000002</v>
      </c>
      <c r="F30" s="116">
        <f>MAX(D30,E30)</f>
        <v>88464515.420000002</v>
      </c>
      <c r="G30" s="116">
        <f>C30+F30</f>
        <v>106309165.08625555</v>
      </c>
      <c r="H30" s="116">
        <f>G30*(6/$C$8)</f>
        <v>53154582.543127775</v>
      </c>
      <c r="I30" s="116">
        <f>I29+I26+I25+I24</f>
        <v>695384.04075062624</v>
      </c>
      <c r="J30" s="28"/>
      <c r="K30" s="121">
        <f>SUM(K24,K25,K26,K29)</f>
        <v>56518874.469228119</v>
      </c>
      <c r="L30" s="116">
        <f>L24+L25+L26+L29</f>
        <v>8846452</v>
      </c>
      <c r="M30" s="116">
        <f>M24+M25+M26+M29</f>
        <v>8846452</v>
      </c>
      <c r="N30" s="116">
        <f>N24+N25+N26+N29</f>
        <v>9706491.5</v>
      </c>
      <c r="O30" s="116">
        <f t="shared" ref="O30" si="9">O24+O25+O26+O29</f>
        <v>56518870</v>
      </c>
    </row>
    <row r="31" spans="2:15" x14ac:dyDescent="0.25">
      <c r="B31" s="83"/>
      <c r="C31" s="100"/>
      <c r="D31" s="100"/>
      <c r="E31" s="100"/>
      <c r="F31" s="100"/>
      <c r="G31" s="100"/>
      <c r="H31" s="103"/>
      <c r="I31" s="100"/>
      <c r="J31" s="83"/>
      <c r="K31" s="145"/>
      <c r="L31" s="103"/>
      <c r="M31" s="103"/>
      <c r="N31" s="103"/>
      <c r="O31" s="103"/>
    </row>
    <row r="32" spans="2:15" x14ac:dyDescent="0.25">
      <c r="B32" s="83"/>
      <c r="C32" s="100"/>
      <c r="D32" s="100"/>
      <c r="E32" s="100"/>
      <c r="F32" s="100"/>
      <c r="G32" s="100"/>
      <c r="H32" s="103"/>
      <c r="I32" s="100"/>
      <c r="J32" s="83"/>
      <c r="K32" s="100"/>
      <c r="L32" s="103"/>
      <c r="M32" s="103"/>
      <c r="N32" s="103"/>
      <c r="O32" s="103"/>
    </row>
    <row r="33" spans="2:15" x14ac:dyDescent="0.25">
      <c r="B33" s="83"/>
      <c r="C33" s="100"/>
      <c r="D33" s="100"/>
      <c r="E33" s="100"/>
      <c r="F33" s="100"/>
      <c r="G33" s="100"/>
      <c r="H33" s="103"/>
      <c r="I33" s="100"/>
      <c r="J33" s="83"/>
      <c r="K33" s="100"/>
      <c r="L33" s="103"/>
      <c r="M33" s="103"/>
      <c r="N33" s="103"/>
      <c r="O33" s="103"/>
    </row>
    <row r="34" spans="2:15" x14ac:dyDescent="0.25">
      <c r="B34" s="83"/>
      <c r="C34" s="100"/>
      <c r="D34" s="100"/>
      <c r="E34" s="100"/>
      <c r="F34" s="100"/>
      <c r="G34" s="100"/>
      <c r="H34" s="103"/>
      <c r="I34" s="100"/>
      <c r="J34" s="83"/>
      <c r="K34" s="100"/>
      <c r="L34" s="103"/>
      <c r="M34" s="103"/>
      <c r="N34" s="103"/>
      <c r="O34" s="103"/>
    </row>
    <row r="35" spans="2:15" ht="26.4" x14ac:dyDescent="0.25">
      <c r="B35" s="37" t="s">
        <v>96</v>
      </c>
      <c r="C35" s="141"/>
      <c r="D35" s="141"/>
      <c r="E35" s="141"/>
      <c r="F35" s="142"/>
      <c r="G35" s="142"/>
      <c r="H35" s="142"/>
      <c r="I35" s="142"/>
      <c r="K35" s="103"/>
      <c r="L35" s="103"/>
      <c r="M35" s="103"/>
      <c r="N35" s="103"/>
      <c r="O35" s="103"/>
    </row>
    <row r="36" spans="2:15" ht="70.2" x14ac:dyDescent="0.25">
      <c r="B36" s="3" t="s">
        <v>17</v>
      </c>
      <c r="C36" s="101" t="s">
        <v>170</v>
      </c>
      <c r="D36" s="101" t="s">
        <v>60</v>
      </c>
      <c r="E36" s="101" t="s">
        <v>28</v>
      </c>
      <c r="F36" s="101" t="s">
        <v>21</v>
      </c>
      <c r="G36" s="101" t="s">
        <v>194</v>
      </c>
      <c r="H36" s="101" t="s">
        <v>195</v>
      </c>
      <c r="I36" s="101" t="s">
        <v>189</v>
      </c>
      <c r="J36" s="155" t="s">
        <v>196</v>
      </c>
      <c r="K36" s="102" t="s">
        <v>29</v>
      </c>
      <c r="L36" s="103"/>
      <c r="M36" s="103"/>
      <c r="N36" s="103"/>
      <c r="O36" s="103"/>
    </row>
    <row r="37" spans="2:15" x14ac:dyDescent="0.25">
      <c r="B37" s="95" t="s">
        <v>0</v>
      </c>
      <c r="C37" s="122">
        <f>VLOOKUP($C$3,donnees_sources_MCO!$B$3:$EC$940,ROW()-13,FALSE)</f>
        <v>0</v>
      </c>
      <c r="D37" s="122">
        <f>VLOOKUP($C$3,donnees_sources_MCO!$B$3:$EC$940,ROW()+9,FALSE)</f>
        <v>0</v>
      </c>
      <c r="E37" s="122"/>
      <c r="F37" s="113">
        <f>IF($F$41=$D$41, D37,$E$41*(D37/$D$41))</f>
        <v>0</v>
      </c>
      <c r="G37" s="113">
        <f>C37+F37</f>
        <v>0</v>
      </c>
      <c r="H37" s="113">
        <f>G37*(6/$C$8)</f>
        <v>0</v>
      </c>
      <c r="I37" s="113">
        <f>VLOOKUP($C$3,donnees_sources_MCO!$B$3:$EC$940,ROW()+42,FALSE)</f>
        <v>0</v>
      </c>
      <c r="J37" s="24">
        <f>ROUND(IF($C$7="EPS",IF($C$6="SU",Taux!$B$9,Taux!$B$10), IF($C$6="SU",Taux!$C$9,Taux!$C$10)),4)</f>
        <v>5.1499999999999997E-2</v>
      </c>
      <c r="K37" s="122">
        <f>ROUND((H37+I37)*(1+J37),0)</f>
        <v>0</v>
      </c>
      <c r="L37" s="103"/>
      <c r="M37" s="103"/>
      <c r="N37" s="103"/>
      <c r="O37" s="103"/>
    </row>
    <row r="38" spans="2:15" x14ac:dyDescent="0.25">
      <c r="B38" s="95" t="s">
        <v>2</v>
      </c>
      <c r="C38" s="122">
        <f>VLOOKUP($C$3,donnees_sources_MCO!$B$3:$EC$940,ROW()-13,FALSE)</f>
        <v>0</v>
      </c>
      <c r="D38" s="122">
        <f>VLOOKUP($C$3,donnees_sources_MCO!$B$3:$EC$940,ROW()+9,FALSE)</f>
        <v>0</v>
      </c>
      <c r="E38" s="122"/>
      <c r="F38" s="113">
        <f t="shared" ref="F38:F39" si="10">IF($F$41=$D$41, D38,$E$41*(D38/$D$41))</f>
        <v>0</v>
      </c>
      <c r="G38" s="113">
        <f t="shared" ref="G38" si="11">C38+F38</f>
        <v>0</v>
      </c>
      <c r="H38" s="113">
        <f t="shared" ref="H38:H39" si="12">G38*(6/$C$8)</f>
        <v>0</v>
      </c>
      <c r="I38" s="113">
        <f>VLOOKUP($C$3,donnees_sources_MCO!$B$3:$EC$940,ROW()+42,FALSE)</f>
        <v>0</v>
      </c>
      <c r="J38" s="24">
        <f>ROUND(IF($C$7="EPS",Taux!$B$12,Taux!$C$12), 4)</f>
        <v>0</v>
      </c>
      <c r="K38" s="122">
        <f t="shared" ref="K38:K40" si="13">ROUND((H38+I38)*(1+J38),0)</f>
        <v>0</v>
      </c>
      <c r="L38" s="103"/>
      <c r="M38" s="103"/>
      <c r="N38" s="103"/>
      <c r="O38" s="103"/>
    </row>
    <row r="39" spans="2:15" x14ac:dyDescent="0.25">
      <c r="B39" s="4" t="s">
        <v>177</v>
      </c>
      <c r="C39" s="122">
        <f>VLOOKUP($C$3,donnees_sources_MCO!$B$3:$EC$940,ROW()-13,FALSE)</f>
        <v>0</v>
      </c>
      <c r="D39" s="122">
        <f>VLOOKUP($C$3,donnees_sources_MCO!$B$3:$EC$940,ROW()+9,FALSE)</f>
        <v>0</v>
      </c>
      <c r="E39" s="122"/>
      <c r="F39" s="113">
        <f t="shared" si="10"/>
        <v>0</v>
      </c>
      <c r="G39" s="113">
        <f>C39+F39</f>
        <v>0</v>
      </c>
      <c r="H39" s="113">
        <f t="shared" si="12"/>
        <v>0</v>
      </c>
      <c r="I39" s="113">
        <f>VLOOKUP($C$3,donnees_sources_MCO!$B$3:$EC$940,ROW()+42,FALSE)</f>
        <v>0</v>
      </c>
      <c r="J39" s="24">
        <f>ROUND(IF($C$7="EPS",Taux!$B$15,Taux!$C$15), 4)</f>
        <v>4.48E-2</v>
      </c>
      <c r="K39" s="122">
        <f t="shared" si="13"/>
        <v>0</v>
      </c>
      <c r="L39" s="103"/>
      <c r="M39" s="103"/>
      <c r="N39" s="103"/>
      <c r="O39" s="103"/>
    </row>
    <row r="40" spans="2:15" x14ac:dyDescent="0.25">
      <c r="B40" s="4" t="s">
        <v>23</v>
      </c>
      <c r="C40" s="122">
        <f>VLOOKUP($C$3,donnees_sources_MCO!$B$3:$EC$940,ROW()-13,FALSE)</f>
        <v>1251555.6009599937</v>
      </c>
      <c r="D40" s="122">
        <f>VLOOKUP($C$3,donnees_sources_MCO!$B$3:$EC$940,ROW()+9,FALSE)</f>
        <v>4767455.191859982</v>
      </c>
      <c r="E40" s="122"/>
      <c r="F40" s="113">
        <f>IF($F$41=$D$41, D40,$E$41*(D40/$D$41))</f>
        <v>5691687.2300000004</v>
      </c>
      <c r="G40" s="113">
        <f>C40+F40</f>
        <v>6943242.8309599943</v>
      </c>
      <c r="H40" s="113">
        <f>G40*(6/$C$8)</f>
        <v>3471621.4154799972</v>
      </c>
      <c r="I40" s="113">
        <f>VLOOKUP($C$3,donnees_sources_MCO!$B$3:$EC$940,ROW()+42,FALSE)</f>
        <v>44882.834159124344</v>
      </c>
      <c r="J40" s="24">
        <f>ROUND(IF($C$7="EPS",Taux!$B$18,Taux!$C$18), 4)</f>
        <v>0</v>
      </c>
      <c r="K40" s="122">
        <f t="shared" si="13"/>
        <v>3516504</v>
      </c>
      <c r="L40" s="103"/>
      <c r="M40" s="103"/>
      <c r="N40" s="103"/>
      <c r="O40" s="103"/>
    </row>
    <row r="41" spans="2:15" x14ac:dyDescent="0.25">
      <c r="B41" s="98" t="s">
        <v>24</v>
      </c>
      <c r="C41" s="115">
        <f>SUM(C37:C40)</f>
        <v>1251555.6009599937</v>
      </c>
      <c r="D41" s="115">
        <f t="shared" ref="D41:I41" si="14">SUM(D37:D40)</f>
        <v>4767455.191859982</v>
      </c>
      <c r="E41" s="115">
        <f>VLOOKUP($C$3,donnees_sources_MCO!$B$3:$EC$940,ROW()+27,FALSE)</f>
        <v>5691687.2300000004</v>
      </c>
      <c r="F41" s="115">
        <f>MAX(D41,E41)</f>
        <v>5691687.2300000004</v>
      </c>
      <c r="G41" s="115">
        <f t="shared" si="14"/>
        <v>6943242.8309599943</v>
      </c>
      <c r="H41" s="115">
        <f t="shared" si="14"/>
        <v>3471621.4154799972</v>
      </c>
      <c r="I41" s="115">
        <f t="shared" si="14"/>
        <v>44882.834159124344</v>
      </c>
      <c r="J41" s="29"/>
      <c r="K41" s="115">
        <f>SUM(K37:K40)</f>
        <v>3516504</v>
      </c>
      <c r="L41" s="103"/>
      <c r="M41" s="103"/>
      <c r="N41" s="103"/>
      <c r="O41" s="103"/>
    </row>
    <row r="42" spans="2:15" x14ac:dyDescent="0.25">
      <c r="C42" s="103"/>
      <c r="D42" s="103"/>
      <c r="E42" s="103"/>
      <c r="F42" s="103"/>
      <c r="G42" s="103"/>
      <c r="H42" s="103"/>
      <c r="I42" s="103"/>
      <c r="K42" s="103"/>
      <c r="L42" s="103"/>
      <c r="M42" s="103"/>
      <c r="N42" s="103"/>
      <c r="O42" s="103"/>
    </row>
    <row r="43" spans="2:15" x14ac:dyDescent="0.25">
      <c r="C43" s="103"/>
      <c r="D43" s="103"/>
      <c r="E43" s="103"/>
      <c r="F43" s="103"/>
      <c r="G43" s="103"/>
      <c r="H43" s="103"/>
      <c r="I43" s="103"/>
      <c r="K43" s="103"/>
      <c r="L43" s="103"/>
      <c r="M43" s="103"/>
      <c r="N43" s="103"/>
      <c r="O43" s="103"/>
    </row>
    <row r="44" spans="2:15" x14ac:dyDescent="0.25">
      <c r="C44" s="103"/>
      <c r="D44" s="103"/>
      <c r="E44" s="103"/>
      <c r="F44" s="103"/>
      <c r="G44" s="103"/>
      <c r="H44" s="103"/>
      <c r="I44" s="103"/>
      <c r="K44" s="103"/>
      <c r="L44" s="103"/>
      <c r="M44" s="103"/>
      <c r="N44" s="103"/>
      <c r="O44" s="103"/>
    </row>
    <row r="45" spans="2:15" x14ac:dyDescent="0.25">
      <c r="B45" s="38" t="s">
        <v>97</v>
      </c>
      <c r="C45" s="103"/>
      <c r="D45" s="103"/>
      <c r="E45" s="103"/>
      <c r="F45" s="103"/>
      <c r="G45" s="103"/>
      <c r="H45" s="103"/>
      <c r="I45" s="103"/>
      <c r="K45" s="103"/>
      <c r="L45" s="103"/>
      <c r="M45" s="103"/>
      <c r="N45" s="103"/>
      <c r="O45" s="103"/>
    </row>
    <row r="46" spans="2:15" s="104" customFormat="1" ht="57" x14ac:dyDescent="0.3">
      <c r="B46" s="88" t="s">
        <v>54</v>
      </c>
      <c r="C46" s="89" t="s">
        <v>169</v>
      </c>
      <c r="D46" s="89" t="s">
        <v>145</v>
      </c>
      <c r="E46" s="89" t="s">
        <v>197</v>
      </c>
      <c r="F46" s="144"/>
      <c r="G46" s="144"/>
      <c r="H46" s="144"/>
      <c r="I46" s="144"/>
      <c r="K46" s="144"/>
      <c r="L46" s="144"/>
      <c r="M46" s="144"/>
      <c r="N46" s="144"/>
      <c r="O46" s="144"/>
    </row>
    <row r="47" spans="2:15" x14ac:dyDescent="0.25">
      <c r="B47" s="95" t="s">
        <v>56</v>
      </c>
      <c r="C47" s="122">
        <f>VLOOKUP($C$3,donnees_sources_MCO!$B$3:$EC$940,ROW()+52,FALSE)</f>
        <v>3197550.9930000259</v>
      </c>
      <c r="D47" s="122">
        <f>VLOOKUP($C$3,donnees_sources_MCO!$B$3:$EC$940,ROW()+63,FALSE)</f>
        <v>266463</v>
      </c>
      <c r="E47" s="122">
        <f>ROUND(((C47*(6/$C$8))-2*D47)/4,0)</f>
        <v>266462</v>
      </c>
      <c r="F47" s="103"/>
      <c r="G47" s="103"/>
      <c r="H47" s="103"/>
      <c r="I47" s="103"/>
      <c r="K47" s="103"/>
      <c r="L47" s="103"/>
      <c r="M47" s="103"/>
      <c r="N47" s="103"/>
      <c r="O47" s="103"/>
    </row>
    <row r="48" spans="2:15" x14ac:dyDescent="0.25">
      <c r="B48" s="95" t="s">
        <v>55</v>
      </c>
      <c r="C48" s="122">
        <f>VLOOKUP($C$3,donnees_sources_MCO!$B$3:$EC$940,ROW()+52,FALSE)</f>
        <v>14392208.611500021</v>
      </c>
      <c r="D48" s="122">
        <f>VLOOKUP($C$3,donnees_sources_MCO!$B$3:$EC$940,ROW()+63,FALSE)</f>
        <v>1199351</v>
      </c>
      <c r="E48" s="122">
        <f t="shared" ref="E48:E59" si="15">ROUND(((C48*(6/$C$8))-2*D48)/4,0)</f>
        <v>1199351</v>
      </c>
      <c r="F48" s="103"/>
      <c r="G48" s="103"/>
      <c r="H48" s="103"/>
      <c r="I48" s="103"/>
      <c r="K48" s="103"/>
      <c r="L48" s="103"/>
      <c r="M48" s="103"/>
      <c r="N48" s="103"/>
      <c r="O48" s="103"/>
    </row>
    <row r="49" spans="2:15" x14ac:dyDescent="0.25">
      <c r="B49" s="4" t="s">
        <v>57</v>
      </c>
      <c r="C49" s="122">
        <f>VLOOKUP($C$3,donnees_sources_MCO!$B$3:$EC$940,ROW()+52,FALSE)</f>
        <v>1105066.3249999995</v>
      </c>
      <c r="D49" s="122">
        <f>VLOOKUP($C$3,donnees_sources_MCO!$B$3:$EC$940,ROW()+63,FALSE)</f>
        <v>92089</v>
      </c>
      <c r="E49" s="122">
        <f t="shared" si="15"/>
        <v>92089</v>
      </c>
      <c r="F49" s="103"/>
      <c r="G49" s="103"/>
      <c r="H49" s="103"/>
      <c r="I49" s="103"/>
      <c r="K49" s="103"/>
      <c r="L49" s="103"/>
      <c r="M49" s="103"/>
      <c r="N49" s="103"/>
      <c r="O49" s="103"/>
    </row>
    <row r="50" spans="2:15" x14ac:dyDescent="0.25">
      <c r="B50" s="95" t="s">
        <v>59</v>
      </c>
      <c r="C50" s="122">
        <f>VLOOKUP($C$3,donnees_sources_MCO!$B$3:$EC$940,ROW()+52,FALSE)</f>
        <v>0</v>
      </c>
      <c r="D50" s="122">
        <f>VLOOKUP($C$3,donnees_sources_MCO!$B$3:$EC$940,ROW()+63,FALSE)</f>
        <v>0</v>
      </c>
      <c r="E50" s="122">
        <f t="shared" si="15"/>
        <v>0</v>
      </c>
      <c r="F50" s="103"/>
      <c r="G50" s="103"/>
      <c r="H50" s="103"/>
      <c r="I50" s="103"/>
      <c r="K50" s="103"/>
      <c r="L50" s="103"/>
      <c r="M50" s="103"/>
      <c r="N50" s="103"/>
      <c r="O50" s="103"/>
    </row>
    <row r="51" spans="2:15" x14ac:dyDescent="0.25">
      <c r="B51" s="95" t="s">
        <v>58</v>
      </c>
      <c r="C51" s="122">
        <f>VLOOKUP($C$3,donnees_sources_MCO!$B$3:$EC$940,ROW()+52,FALSE)</f>
        <v>4361.5</v>
      </c>
      <c r="D51" s="122">
        <f>VLOOKUP($C$3,donnees_sources_MCO!$B$3:$EC$940,ROW()+63,FALSE)</f>
        <v>0</v>
      </c>
      <c r="E51" s="122">
        <f t="shared" si="15"/>
        <v>545</v>
      </c>
      <c r="F51" s="103"/>
      <c r="G51" s="103"/>
      <c r="H51" s="103"/>
      <c r="I51" s="103"/>
      <c r="K51" s="103"/>
      <c r="L51" s="103"/>
      <c r="M51" s="103"/>
      <c r="N51" s="103"/>
      <c r="O51" s="103"/>
    </row>
    <row r="52" spans="2:15" x14ac:dyDescent="0.25">
      <c r="B52" s="96" t="s">
        <v>94</v>
      </c>
      <c r="C52" s="114">
        <f>SUM(C47:C51)</f>
        <v>18699187.429500047</v>
      </c>
      <c r="D52" s="114">
        <f>SUM(D47:D51)</f>
        <v>1557903</v>
      </c>
      <c r="E52" s="114">
        <f>SUM(E47:E51)</f>
        <v>1558447</v>
      </c>
      <c r="F52" s="103"/>
      <c r="G52" s="103"/>
      <c r="H52" s="103"/>
      <c r="I52" s="103"/>
      <c r="K52" s="103"/>
      <c r="L52" s="103"/>
      <c r="M52" s="103"/>
      <c r="N52" s="103"/>
      <c r="O52" s="103"/>
    </row>
    <row r="53" spans="2:15" x14ac:dyDescent="0.25">
      <c r="B53" s="95" t="s">
        <v>64</v>
      </c>
      <c r="C53" s="122">
        <f>VLOOKUP($C$3,donnees_sources_MCO!$B$3:$EC$940,ROW()+51,FALSE)</f>
        <v>2278.0954999999999</v>
      </c>
      <c r="D53" s="122">
        <f>VLOOKUP($C$3,donnees_sources_MCO!$B$3:$EC$940,ROW()+62,FALSE)</f>
        <v>190</v>
      </c>
      <c r="E53" s="122">
        <f t="shared" si="15"/>
        <v>190</v>
      </c>
      <c r="F53" s="103"/>
      <c r="G53" s="103"/>
      <c r="H53" s="103"/>
      <c r="I53" s="103"/>
      <c r="K53" s="103"/>
      <c r="L53" s="103"/>
      <c r="M53" s="103"/>
      <c r="N53" s="103"/>
      <c r="O53" s="103"/>
    </row>
    <row r="54" spans="2:15" x14ac:dyDescent="0.25">
      <c r="B54" s="95" t="s">
        <v>63</v>
      </c>
      <c r="C54" s="122">
        <f>VLOOKUP($C$3,donnees_sources_MCO!$B$3:$EC$940,ROW()+51,FALSE)</f>
        <v>5317.74</v>
      </c>
      <c r="D54" s="122">
        <f>VLOOKUP($C$3,donnees_sources_MCO!$B$3:$EC$940,ROW()+62,FALSE)</f>
        <v>443</v>
      </c>
      <c r="E54" s="122">
        <f t="shared" ref="E54:E55" si="16">ROUND(((C54/2)-2*D54)/4,0)</f>
        <v>443</v>
      </c>
      <c r="F54" s="103"/>
      <c r="G54" s="103"/>
      <c r="H54" s="103"/>
      <c r="I54" s="103"/>
      <c r="K54" s="103"/>
      <c r="L54" s="103"/>
      <c r="M54" s="103"/>
      <c r="N54" s="103"/>
      <c r="O54" s="103"/>
    </row>
    <row r="55" spans="2:15" x14ac:dyDescent="0.25">
      <c r="B55" s="4" t="s">
        <v>65</v>
      </c>
      <c r="C55" s="122">
        <f>VLOOKUP($C$3,donnees_sources_MCO!$B$3:$EC$940,ROW()+51,FALSE)</f>
        <v>0</v>
      </c>
      <c r="D55" s="122">
        <f>VLOOKUP($C$3,donnees_sources_MCO!$B$3:$EC$940,ROW()+62,FALSE)</f>
        <v>0</v>
      </c>
      <c r="E55" s="122">
        <f t="shared" si="16"/>
        <v>0</v>
      </c>
      <c r="F55" s="103"/>
      <c r="G55" s="103"/>
      <c r="H55" s="103"/>
      <c r="I55" s="103"/>
      <c r="K55" s="103"/>
      <c r="L55" s="103"/>
      <c r="M55" s="103"/>
      <c r="N55" s="103"/>
      <c r="O55" s="103"/>
    </row>
    <row r="56" spans="2:15" x14ac:dyDescent="0.25">
      <c r="B56" s="96" t="s">
        <v>148</v>
      </c>
      <c r="C56" s="114">
        <f>SUM(C53:C55)</f>
        <v>7595.8354999999992</v>
      </c>
      <c r="D56" s="114">
        <f>SUM(D53:D55)</f>
        <v>633</v>
      </c>
      <c r="E56" s="114">
        <f>SUM(E53:E55)</f>
        <v>633</v>
      </c>
      <c r="F56" s="103"/>
      <c r="G56" s="103"/>
      <c r="H56" s="103"/>
      <c r="I56" s="103"/>
      <c r="K56" s="103"/>
      <c r="L56" s="103"/>
      <c r="M56" s="103"/>
      <c r="N56" s="103"/>
      <c r="O56" s="103"/>
    </row>
    <row r="57" spans="2:15" x14ac:dyDescent="0.25">
      <c r="B57" s="95" t="s">
        <v>67</v>
      </c>
      <c r="C57" s="122">
        <f>VLOOKUP($C$3,donnees_sources_MCO!$B$3:$EC$940,ROW()+50,FALSE)</f>
        <v>0</v>
      </c>
      <c r="D57" s="122">
        <f>VLOOKUP($C$3,donnees_sources_MCO!$B$3:$EC$940,ROW()+61,FALSE)</f>
        <v>0</v>
      </c>
      <c r="E57" s="122">
        <f t="shared" si="15"/>
        <v>0</v>
      </c>
      <c r="F57" s="103"/>
      <c r="G57" s="103"/>
      <c r="H57" s="103"/>
      <c r="I57" s="103"/>
      <c r="K57" s="103"/>
      <c r="L57" s="103"/>
      <c r="M57" s="103"/>
      <c r="N57" s="103"/>
      <c r="O57" s="103"/>
    </row>
    <row r="58" spans="2:15" x14ac:dyDescent="0.25">
      <c r="B58" s="95" t="s">
        <v>66</v>
      </c>
      <c r="C58" s="122">
        <f>VLOOKUP($C$3,donnees_sources_MCO!$B$3:$EC$940,ROW()+50,FALSE)</f>
        <v>0</v>
      </c>
      <c r="D58" s="122">
        <f>VLOOKUP($C$3,donnees_sources_MCO!$B$3:$EC$940,ROW()+61,FALSE)</f>
        <v>0</v>
      </c>
      <c r="E58" s="122">
        <f t="shared" si="15"/>
        <v>0</v>
      </c>
      <c r="F58" s="103"/>
      <c r="G58" s="103"/>
      <c r="H58" s="103"/>
      <c r="I58" s="103"/>
      <c r="K58" s="103"/>
      <c r="L58" s="103"/>
      <c r="M58" s="103"/>
      <c r="N58" s="103"/>
      <c r="O58" s="103"/>
    </row>
    <row r="59" spans="2:15" x14ac:dyDescent="0.25">
      <c r="B59" s="4" t="s">
        <v>68</v>
      </c>
      <c r="C59" s="122">
        <f>VLOOKUP($C$3,donnees_sources_MCO!$B$3:$EC$940,ROW()+50,FALSE)</f>
        <v>0</v>
      </c>
      <c r="D59" s="122">
        <f>VLOOKUP($C$3,donnees_sources_MCO!$B$3:$EC$940,ROW()+61,FALSE)</f>
        <v>0</v>
      </c>
      <c r="E59" s="122">
        <f t="shared" si="15"/>
        <v>0</v>
      </c>
      <c r="F59" s="103"/>
      <c r="G59" s="103"/>
      <c r="H59" s="103"/>
      <c r="I59" s="103"/>
      <c r="K59" s="103"/>
      <c r="L59" s="103"/>
      <c r="M59" s="103"/>
      <c r="N59" s="103"/>
      <c r="O59" s="103"/>
    </row>
    <row r="60" spans="2:15" x14ac:dyDescent="0.25">
      <c r="B60" s="96" t="s">
        <v>149</v>
      </c>
      <c r="C60" s="114">
        <f>SUM(C57:C59)</f>
        <v>0</v>
      </c>
      <c r="D60" s="114">
        <f>SUM(D57:D59)</f>
        <v>0</v>
      </c>
      <c r="E60" s="114">
        <f>SUM(E57:E59)</f>
        <v>0</v>
      </c>
      <c r="F60" s="103"/>
      <c r="G60" s="103"/>
      <c r="H60" s="103"/>
      <c r="I60" s="103"/>
    </row>
    <row r="61" spans="2:15" x14ac:dyDescent="0.25">
      <c r="B61" s="99" t="s">
        <v>24</v>
      </c>
      <c r="C61" s="116">
        <f>C52+C56+C60</f>
        <v>18706783.265000045</v>
      </c>
      <c r="D61" s="116">
        <f t="shared" ref="D61:E61" si="17">D52+D56+D60</f>
        <v>1558536</v>
      </c>
      <c r="E61" s="116">
        <f t="shared" si="17"/>
        <v>1559080</v>
      </c>
      <c r="F61" s="103"/>
      <c r="G61" s="103"/>
      <c r="H61" s="103"/>
      <c r="I61" s="103"/>
    </row>
    <row r="62" spans="2:15" x14ac:dyDescent="0.25">
      <c r="C62" s="103"/>
      <c r="D62" s="103"/>
      <c r="E62" s="103"/>
      <c r="F62" s="103"/>
      <c r="G62" s="103"/>
      <c r="H62" s="103"/>
      <c r="I62" s="103"/>
    </row>
    <row r="63" spans="2:15" x14ac:dyDescent="0.25">
      <c r="C63" s="103"/>
      <c r="D63" s="103"/>
      <c r="E63" s="103"/>
      <c r="F63" s="103"/>
      <c r="G63" s="103"/>
      <c r="H63" s="103"/>
      <c r="I63" s="103"/>
    </row>
    <row r="64" spans="2:15" x14ac:dyDescent="0.25">
      <c r="C64" s="103"/>
      <c r="D64" s="103"/>
      <c r="E64" s="103"/>
      <c r="F64" s="103"/>
      <c r="G64" s="103"/>
      <c r="H64" s="103"/>
      <c r="I64" s="103"/>
    </row>
    <row r="65" spans="3:9" x14ac:dyDescent="0.25">
      <c r="C65" s="103"/>
      <c r="D65" s="103"/>
      <c r="E65" s="103"/>
      <c r="F65" s="103"/>
      <c r="G65" s="103"/>
      <c r="H65" s="103"/>
      <c r="I65" s="103"/>
    </row>
    <row r="66" spans="3:9" x14ac:dyDescent="0.25">
      <c r="C66" s="103"/>
      <c r="D66" s="103"/>
      <c r="E66" s="103"/>
      <c r="F66" s="103"/>
      <c r="G66" s="103"/>
      <c r="H66" s="103"/>
      <c r="I66" s="103"/>
    </row>
  </sheetData>
  <pageMargins left="0.7" right="0.7" top="0.75" bottom="0.75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7056C6-116B-44A4-8994-B2374CBED65D}">
          <x14:formula1>
            <xm:f>donnees_sources_MCO!$B3:$B1000</xm:f>
          </x14:formula1>
          <xm:sqref>C3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24BA2-9460-4084-8F06-4BD7F47518EB}">
  <sheetPr codeName="Feuil5"/>
  <dimension ref="B1:L28"/>
  <sheetViews>
    <sheetView showGridLines="0" zoomScaleNormal="100" workbookViewId="0">
      <selection activeCell="B1" sqref="B1"/>
    </sheetView>
  </sheetViews>
  <sheetFormatPr baseColWidth="10" defaultRowHeight="13.2" x14ac:dyDescent="0.25"/>
  <cols>
    <col min="1" max="1" width="2" style="81" customWidth="1"/>
    <col min="2" max="2" width="71.33203125" style="81" customWidth="1"/>
    <col min="3" max="3" width="29.6640625" style="81" customWidth="1"/>
    <col min="4" max="4" width="21.88671875" style="81" customWidth="1"/>
    <col min="5" max="7" width="17" style="81" customWidth="1"/>
    <col min="8" max="8" width="21.88671875" style="81" customWidth="1"/>
    <col min="9" max="9" width="20.88671875" style="81" customWidth="1"/>
    <col min="10" max="231" width="11.5546875" style="81"/>
    <col min="232" max="232" width="47.33203125" style="81" customWidth="1"/>
    <col min="233" max="233" width="23.6640625" style="81" customWidth="1"/>
    <col min="234" max="234" width="21.33203125" style="81" customWidth="1"/>
    <col min="235" max="235" width="17.5546875" style="81" customWidth="1"/>
    <col min="236" max="236" width="16.33203125" style="81" customWidth="1"/>
    <col min="237" max="237" width="19.33203125" style="81" customWidth="1"/>
    <col min="238" max="239" width="15" style="81" bestFit="1" customWidth="1"/>
    <col min="240" max="240" width="11.6640625" style="81" customWidth="1"/>
    <col min="241" max="241" width="15" style="81" bestFit="1" customWidth="1"/>
    <col min="242" max="242" width="16.6640625" style="81" bestFit="1" customWidth="1"/>
    <col min="243" max="244" width="13.33203125" style="81" customWidth="1"/>
    <col min="245" max="245" width="13" style="81" customWidth="1"/>
    <col min="246" max="487" width="11.5546875" style="81"/>
    <col min="488" max="488" width="47.33203125" style="81" customWidth="1"/>
    <col min="489" max="489" width="23.6640625" style="81" customWidth="1"/>
    <col min="490" max="490" width="21.33203125" style="81" customWidth="1"/>
    <col min="491" max="491" width="17.5546875" style="81" customWidth="1"/>
    <col min="492" max="492" width="16.33203125" style="81" customWidth="1"/>
    <col min="493" max="493" width="19.33203125" style="81" customWidth="1"/>
    <col min="494" max="495" width="15" style="81" bestFit="1" customWidth="1"/>
    <col min="496" max="496" width="11.6640625" style="81" customWidth="1"/>
    <col min="497" max="497" width="15" style="81" bestFit="1" customWidth="1"/>
    <col min="498" max="498" width="16.6640625" style="81" bestFit="1" customWidth="1"/>
    <col min="499" max="500" width="13.33203125" style="81" customWidth="1"/>
    <col min="501" max="501" width="13" style="81" customWidth="1"/>
    <col min="502" max="743" width="11.5546875" style="81"/>
    <col min="744" max="744" width="47.33203125" style="81" customWidth="1"/>
    <col min="745" max="745" width="23.6640625" style="81" customWidth="1"/>
    <col min="746" max="746" width="21.33203125" style="81" customWidth="1"/>
    <col min="747" max="747" width="17.5546875" style="81" customWidth="1"/>
    <col min="748" max="748" width="16.33203125" style="81" customWidth="1"/>
    <col min="749" max="749" width="19.33203125" style="81" customWidth="1"/>
    <col min="750" max="751" width="15" style="81" bestFit="1" customWidth="1"/>
    <col min="752" max="752" width="11.6640625" style="81" customWidth="1"/>
    <col min="753" max="753" width="15" style="81" bestFit="1" customWidth="1"/>
    <col min="754" max="754" width="16.6640625" style="81" bestFit="1" customWidth="1"/>
    <col min="755" max="756" width="13.33203125" style="81" customWidth="1"/>
    <col min="757" max="757" width="13" style="81" customWidth="1"/>
    <col min="758" max="999" width="11.5546875" style="81"/>
    <col min="1000" max="1000" width="47.33203125" style="81" customWidth="1"/>
    <col min="1001" max="1001" width="23.6640625" style="81" customWidth="1"/>
    <col min="1002" max="1002" width="21.33203125" style="81" customWidth="1"/>
    <col min="1003" max="1003" width="17.5546875" style="81" customWidth="1"/>
    <col min="1004" max="1004" width="16.33203125" style="81" customWidth="1"/>
    <col min="1005" max="1005" width="19.33203125" style="81" customWidth="1"/>
    <col min="1006" max="1007" width="15" style="81" bestFit="1" customWidth="1"/>
    <col min="1008" max="1008" width="11.6640625" style="81" customWidth="1"/>
    <col min="1009" max="1009" width="15" style="81" bestFit="1" customWidth="1"/>
    <col min="1010" max="1010" width="16.6640625" style="81" bestFit="1" customWidth="1"/>
    <col min="1011" max="1012" width="13.33203125" style="81" customWidth="1"/>
    <col min="1013" max="1013" width="13" style="81" customWidth="1"/>
    <col min="1014" max="1255" width="11.5546875" style="81"/>
    <col min="1256" max="1256" width="47.33203125" style="81" customWidth="1"/>
    <col min="1257" max="1257" width="23.6640625" style="81" customWidth="1"/>
    <col min="1258" max="1258" width="21.33203125" style="81" customWidth="1"/>
    <col min="1259" max="1259" width="17.5546875" style="81" customWidth="1"/>
    <col min="1260" max="1260" width="16.33203125" style="81" customWidth="1"/>
    <col min="1261" max="1261" width="19.33203125" style="81" customWidth="1"/>
    <col min="1262" max="1263" width="15" style="81" bestFit="1" customWidth="1"/>
    <col min="1264" max="1264" width="11.6640625" style="81" customWidth="1"/>
    <col min="1265" max="1265" width="15" style="81" bestFit="1" customWidth="1"/>
    <col min="1266" max="1266" width="16.6640625" style="81" bestFit="1" customWidth="1"/>
    <col min="1267" max="1268" width="13.33203125" style="81" customWidth="1"/>
    <col min="1269" max="1269" width="13" style="81" customWidth="1"/>
    <col min="1270" max="1511" width="11.5546875" style="81"/>
    <col min="1512" max="1512" width="47.33203125" style="81" customWidth="1"/>
    <col min="1513" max="1513" width="23.6640625" style="81" customWidth="1"/>
    <col min="1514" max="1514" width="21.33203125" style="81" customWidth="1"/>
    <col min="1515" max="1515" width="17.5546875" style="81" customWidth="1"/>
    <col min="1516" max="1516" width="16.33203125" style="81" customWidth="1"/>
    <col min="1517" max="1517" width="19.33203125" style="81" customWidth="1"/>
    <col min="1518" max="1519" width="15" style="81" bestFit="1" customWidth="1"/>
    <col min="1520" max="1520" width="11.6640625" style="81" customWidth="1"/>
    <col min="1521" max="1521" width="15" style="81" bestFit="1" customWidth="1"/>
    <col min="1522" max="1522" width="16.6640625" style="81" bestFit="1" customWidth="1"/>
    <col min="1523" max="1524" width="13.33203125" style="81" customWidth="1"/>
    <col min="1525" max="1525" width="13" style="81" customWidth="1"/>
    <col min="1526" max="1767" width="11.5546875" style="81"/>
    <col min="1768" max="1768" width="47.33203125" style="81" customWidth="1"/>
    <col min="1769" max="1769" width="23.6640625" style="81" customWidth="1"/>
    <col min="1770" max="1770" width="21.33203125" style="81" customWidth="1"/>
    <col min="1771" max="1771" width="17.5546875" style="81" customWidth="1"/>
    <col min="1772" max="1772" width="16.33203125" style="81" customWidth="1"/>
    <col min="1773" max="1773" width="19.33203125" style="81" customWidth="1"/>
    <col min="1774" max="1775" width="15" style="81" bestFit="1" customWidth="1"/>
    <col min="1776" max="1776" width="11.6640625" style="81" customWidth="1"/>
    <col min="1777" max="1777" width="15" style="81" bestFit="1" customWidth="1"/>
    <col min="1778" max="1778" width="16.6640625" style="81" bestFit="1" customWidth="1"/>
    <col min="1779" max="1780" width="13.33203125" style="81" customWidth="1"/>
    <col min="1781" max="1781" width="13" style="81" customWidth="1"/>
    <col min="1782" max="2023" width="11.5546875" style="81"/>
    <col min="2024" max="2024" width="47.33203125" style="81" customWidth="1"/>
    <col min="2025" max="2025" width="23.6640625" style="81" customWidth="1"/>
    <col min="2026" max="2026" width="21.33203125" style="81" customWidth="1"/>
    <col min="2027" max="2027" width="17.5546875" style="81" customWidth="1"/>
    <col min="2028" max="2028" width="16.33203125" style="81" customWidth="1"/>
    <col min="2029" max="2029" width="19.33203125" style="81" customWidth="1"/>
    <col min="2030" max="2031" width="15" style="81" bestFit="1" customWidth="1"/>
    <col min="2032" max="2032" width="11.6640625" style="81" customWidth="1"/>
    <col min="2033" max="2033" width="15" style="81" bestFit="1" customWidth="1"/>
    <col min="2034" max="2034" width="16.6640625" style="81" bestFit="1" customWidth="1"/>
    <col min="2035" max="2036" width="13.33203125" style="81" customWidth="1"/>
    <col min="2037" max="2037" width="13" style="81" customWidth="1"/>
    <col min="2038" max="2279" width="11.5546875" style="81"/>
    <col min="2280" max="2280" width="47.33203125" style="81" customWidth="1"/>
    <col min="2281" max="2281" width="23.6640625" style="81" customWidth="1"/>
    <col min="2282" max="2282" width="21.33203125" style="81" customWidth="1"/>
    <col min="2283" max="2283" width="17.5546875" style="81" customWidth="1"/>
    <col min="2284" max="2284" width="16.33203125" style="81" customWidth="1"/>
    <col min="2285" max="2285" width="19.33203125" style="81" customWidth="1"/>
    <col min="2286" max="2287" width="15" style="81" bestFit="1" customWidth="1"/>
    <col min="2288" max="2288" width="11.6640625" style="81" customWidth="1"/>
    <col min="2289" max="2289" width="15" style="81" bestFit="1" customWidth="1"/>
    <col min="2290" max="2290" width="16.6640625" style="81" bestFit="1" customWidth="1"/>
    <col min="2291" max="2292" width="13.33203125" style="81" customWidth="1"/>
    <col min="2293" max="2293" width="13" style="81" customWidth="1"/>
    <col min="2294" max="2535" width="11.5546875" style="81"/>
    <col min="2536" max="2536" width="47.33203125" style="81" customWidth="1"/>
    <col min="2537" max="2537" width="23.6640625" style="81" customWidth="1"/>
    <col min="2538" max="2538" width="21.33203125" style="81" customWidth="1"/>
    <col min="2539" max="2539" width="17.5546875" style="81" customWidth="1"/>
    <col min="2540" max="2540" width="16.33203125" style="81" customWidth="1"/>
    <col min="2541" max="2541" width="19.33203125" style="81" customWidth="1"/>
    <col min="2542" max="2543" width="15" style="81" bestFit="1" customWidth="1"/>
    <col min="2544" max="2544" width="11.6640625" style="81" customWidth="1"/>
    <col min="2545" max="2545" width="15" style="81" bestFit="1" customWidth="1"/>
    <col min="2546" max="2546" width="16.6640625" style="81" bestFit="1" customWidth="1"/>
    <col min="2547" max="2548" width="13.33203125" style="81" customWidth="1"/>
    <col min="2549" max="2549" width="13" style="81" customWidth="1"/>
    <col min="2550" max="2791" width="11.5546875" style="81"/>
    <col min="2792" max="2792" width="47.33203125" style="81" customWidth="1"/>
    <col min="2793" max="2793" width="23.6640625" style="81" customWidth="1"/>
    <col min="2794" max="2794" width="21.33203125" style="81" customWidth="1"/>
    <col min="2795" max="2795" width="17.5546875" style="81" customWidth="1"/>
    <col min="2796" max="2796" width="16.33203125" style="81" customWidth="1"/>
    <col min="2797" max="2797" width="19.33203125" style="81" customWidth="1"/>
    <col min="2798" max="2799" width="15" style="81" bestFit="1" customWidth="1"/>
    <col min="2800" max="2800" width="11.6640625" style="81" customWidth="1"/>
    <col min="2801" max="2801" width="15" style="81" bestFit="1" customWidth="1"/>
    <col min="2802" max="2802" width="16.6640625" style="81" bestFit="1" customWidth="1"/>
    <col min="2803" max="2804" width="13.33203125" style="81" customWidth="1"/>
    <col min="2805" max="2805" width="13" style="81" customWidth="1"/>
    <col min="2806" max="3047" width="11.5546875" style="81"/>
    <col min="3048" max="3048" width="47.33203125" style="81" customWidth="1"/>
    <col min="3049" max="3049" width="23.6640625" style="81" customWidth="1"/>
    <col min="3050" max="3050" width="21.33203125" style="81" customWidth="1"/>
    <col min="3051" max="3051" width="17.5546875" style="81" customWidth="1"/>
    <col min="3052" max="3052" width="16.33203125" style="81" customWidth="1"/>
    <col min="3053" max="3053" width="19.33203125" style="81" customWidth="1"/>
    <col min="3054" max="3055" width="15" style="81" bestFit="1" customWidth="1"/>
    <col min="3056" max="3056" width="11.6640625" style="81" customWidth="1"/>
    <col min="3057" max="3057" width="15" style="81" bestFit="1" customWidth="1"/>
    <col min="3058" max="3058" width="16.6640625" style="81" bestFit="1" customWidth="1"/>
    <col min="3059" max="3060" width="13.33203125" style="81" customWidth="1"/>
    <col min="3061" max="3061" width="13" style="81" customWidth="1"/>
    <col min="3062" max="3303" width="11.5546875" style="81"/>
    <col min="3304" max="3304" width="47.33203125" style="81" customWidth="1"/>
    <col min="3305" max="3305" width="23.6640625" style="81" customWidth="1"/>
    <col min="3306" max="3306" width="21.33203125" style="81" customWidth="1"/>
    <col min="3307" max="3307" width="17.5546875" style="81" customWidth="1"/>
    <col min="3308" max="3308" width="16.33203125" style="81" customWidth="1"/>
    <col min="3309" max="3309" width="19.33203125" style="81" customWidth="1"/>
    <col min="3310" max="3311" width="15" style="81" bestFit="1" customWidth="1"/>
    <col min="3312" max="3312" width="11.6640625" style="81" customWidth="1"/>
    <col min="3313" max="3313" width="15" style="81" bestFit="1" customWidth="1"/>
    <col min="3314" max="3314" width="16.6640625" style="81" bestFit="1" customWidth="1"/>
    <col min="3315" max="3316" width="13.33203125" style="81" customWidth="1"/>
    <col min="3317" max="3317" width="13" style="81" customWidth="1"/>
    <col min="3318" max="3559" width="11.5546875" style="81"/>
    <col min="3560" max="3560" width="47.33203125" style="81" customWidth="1"/>
    <col min="3561" max="3561" width="23.6640625" style="81" customWidth="1"/>
    <col min="3562" max="3562" width="21.33203125" style="81" customWidth="1"/>
    <col min="3563" max="3563" width="17.5546875" style="81" customWidth="1"/>
    <col min="3564" max="3564" width="16.33203125" style="81" customWidth="1"/>
    <col min="3565" max="3565" width="19.33203125" style="81" customWidth="1"/>
    <col min="3566" max="3567" width="15" style="81" bestFit="1" customWidth="1"/>
    <col min="3568" max="3568" width="11.6640625" style="81" customWidth="1"/>
    <col min="3569" max="3569" width="15" style="81" bestFit="1" customWidth="1"/>
    <col min="3570" max="3570" width="16.6640625" style="81" bestFit="1" customWidth="1"/>
    <col min="3571" max="3572" width="13.33203125" style="81" customWidth="1"/>
    <col min="3573" max="3573" width="13" style="81" customWidth="1"/>
    <col min="3574" max="3815" width="11.5546875" style="81"/>
    <col min="3816" max="3816" width="47.33203125" style="81" customWidth="1"/>
    <col min="3817" max="3817" width="23.6640625" style="81" customWidth="1"/>
    <col min="3818" max="3818" width="21.33203125" style="81" customWidth="1"/>
    <col min="3819" max="3819" width="17.5546875" style="81" customWidth="1"/>
    <col min="3820" max="3820" width="16.33203125" style="81" customWidth="1"/>
    <col min="3821" max="3821" width="19.33203125" style="81" customWidth="1"/>
    <col min="3822" max="3823" width="15" style="81" bestFit="1" customWidth="1"/>
    <col min="3824" max="3824" width="11.6640625" style="81" customWidth="1"/>
    <col min="3825" max="3825" width="15" style="81" bestFit="1" customWidth="1"/>
    <col min="3826" max="3826" width="16.6640625" style="81" bestFit="1" customWidth="1"/>
    <col min="3827" max="3828" width="13.33203125" style="81" customWidth="1"/>
    <col min="3829" max="3829" width="13" style="81" customWidth="1"/>
    <col min="3830" max="4071" width="11.5546875" style="81"/>
    <col min="4072" max="4072" width="47.33203125" style="81" customWidth="1"/>
    <col min="4073" max="4073" width="23.6640625" style="81" customWidth="1"/>
    <col min="4074" max="4074" width="21.33203125" style="81" customWidth="1"/>
    <col min="4075" max="4075" width="17.5546875" style="81" customWidth="1"/>
    <col min="4076" max="4076" width="16.33203125" style="81" customWidth="1"/>
    <col min="4077" max="4077" width="19.33203125" style="81" customWidth="1"/>
    <col min="4078" max="4079" width="15" style="81" bestFit="1" customWidth="1"/>
    <col min="4080" max="4080" width="11.6640625" style="81" customWidth="1"/>
    <col min="4081" max="4081" width="15" style="81" bestFit="1" customWidth="1"/>
    <col min="4082" max="4082" width="16.6640625" style="81" bestFit="1" customWidth="1"/>
    <col min="4083" max="4084" width="13.33203125" style="81" customWidth="1"/>
    <col min="4085" max="4085" width="13" style="81" customWidth="1"/>
    <col min="4086" max="4327" width="11.5546875" style="81"/>
    <col min="4328" max="4328" width="47.33203125" style="81" customWidth="1"/>
    <col min="4329" max="4329" width="23.6640625" style="81" customWidth="1"/>
    <col min="4330" max="4330" width="21.33203125" style="81" customWidth="1"/>
    <col min="4331" max="4331" width="17.5546875" style="81" customWidth="1"/>
    <col min="4332" max="4332" width="16.33203125" style="81" customWidth="1"/>
    <col min="4333" max="4333" width="19.33203125" style="81" customWidth="1"/>
    <col min="4334" max="4335" width="15" style="81" bestFit="1" customWidth="1"/>
    <col min="4336" max="4336" width="11.6640625" style="81" customWidth="1"/>
    <col min="4337" max="4337" width="15" style="81" bestFit="1" customWidth="1"/>
    <col min="4338" max="4338" width="16.6640625" style="81" bestFit="1" customWidth="1"/>
    <col min="4339" max="4340" width="13.33203125" style="81" customWidth="1"/>
    <col min="4341" max="4341" width="13" style="81" customWidth="1"/>
    <col min="4342" max="4583" width="11.5546875" style="81"/>
    <col min="4584" max="4584" width="47.33203125" style="81" customWidth="1"/>
    <col min="4585" max="4585" width="23.6640625" style="81" customWidth="1"/>
    <col min="4586" max="4586" width="21.33203125" style="81" customWidth="1"/>
    <col min="4587" max="4587" width="17.5546875" style="81" customWidth="1"/>
    <col min="4588" max="4588" width="16.33203125" style="81" customWidth="1"/>
    <col min="4589" max="4589" width="19.33203125" style="81" customWidth="1"/>
    <col min="4590" max="4591" width="15" style="81" bestFit="1" customWidth="1"/>
    <col min="4592" max="4592" width="11.6640625" style="81" customWidth="1"/>
    <col min="4593" max="4593" width="15" style="81" bestFit="1" customWidth="1"/>
    <col min="4594" max="4594" width="16.6640625" style="81" bestFit="1" customWidth="1"/>
    <col min="4595" max="4596" width="13.33203125" style="81" customWidth="1"/>
    <col min="4597" max="4597" width="13" style="81" customWidth="1"/>
    <col min="4598" max="4839" width="11.5546875" style="81"/>
    <col min="4840" max="4840" width="47.33203125" style="81" customWidth="1"/>
    <col min="4841" max="4841" width="23.6640625" style="81" customWidth="1"/>
    <col min="4842" max="4842" width="21.33203125" style="81" customWidth="1"/>
    <col min="4843" max="4843" width="17.5546875" style="81" customWidth="1"/>
    <col min="4844" max="4844" width="16.33203125" style="81" customWidth="1"/>
    <col min="4845" max="4845" width="19.33203125" style="81" customWidth="1"/>
    <col min="4846" max="4847" width="15" style="81" bestFit="1" customWidth="1"/>
    <col min="4848" max="4848" width="11.6640625" style="81" customWidth="1"/>
    <col min="4849" max="4849" width="15" style="81" bestFit="1" customWidth="1"/>
    <col min="4850" max="4850" width="16.6640625" style="81" bestFit="1" customWidth="1"/>
    <col min="4851" max="4852" width="13.33203125" style="81" customWidth="1"/>
    <col min="4853" max="4853" width="13" style="81" customWidth="1"/>
    <col min="4854" max="5095" width="11.5546875" style="81"/>
    <col min="5096" max="5096" width="47.33203125" style="81" customWidth="1"/>
    <col min="5097" max="5097" width="23.6640625" style="81" customWidth="1"/>
    <col min="5098" max="5098" width="21.33203125" style="81" customWidth="1"/>
    <col min="5099" max="5099" width="17.5546875" style="81" customWidth="1"/>
    <col min="5100" max="5100" width="16.33203125" style="81" customWidth="1"/>
    <col min="5101" max="5101" width="19.33203125" style="81" customWidth="1"/>
    <col min="5102" max="5103" width="15" style="81" bestFit="1" customWidth="1"/>
    <col min="5104" max="5104" width="11.6640625" style="81" customWidth="1"/>
    <col min="5105" max="5105" width="15" style="81" bestFit="1" customWidth="1"/>
    <col min="5106" max="5106" width="16.6640625" style="81" bestFit="1" customWidth="1"/>
    <col min="5107" max="5108" width="13.33203125" style="81" customWidth="1"/>
    <col min="5109" max="5109" width="13" style="81" customWidth="1"/>
    <col min="5110" max="5351" width="11.5546875" style="81"/>
    <col min="5352" max="5352" width="47.33203125" style="81" customWidth="1"/>
    <col min="5353" max="5353" width="23.6640625" style="81" customWidth="1"/>
    <col min="5354" max="5354" width="21.33203125" style="81" customWidth="1"/>
    <col min="5355" max="5355" width="17.5546875" style="81" customWidth="1"/>
    <col min="5356" max="5356" width="16.33203125" style="81" customWidth="1"/>
    <col min="5357" max="5357" width="19.33203125" style="81" customWidth="1"/>
    <col min="5358" max="5359" width="15" style="81" bestFit="1" customWidth="1"/>
    <col min="5360" max="5360" width="11.6640625" style="81" customWidth="1"/>
    <col min="5361" max="5361" width="15" style="81" bestFit="1" customWidth="1"/>
    <col min="5362" max="5362" width="16.6640625" style="81" bestFit="1" customWidth="1"/>
    <col min="5363" max="5364" width="13.33203125" style="81" customWidth="1"/>
    <col min="5365" max="5365" width="13" style="81" customWidth="1"/>
    <col min="5366" max="5607" width="11.5546875" style="81"/>
    <col min="5608" max="5608" width="47.33203125" style="81" customWidth="1"/>
    <col min="5609" max="5609" width="23.6640625" style="81" customWidth="1"/>
    <col min="5610" max="5610" width="21.33203125" style="81" customWidth="1"/>
    <col min="5611" max="5611" width="17.5546875" style="81" customWidth="1"/>
    <col min="5612" max="5612" width="16.33203125" style="81" customWidth="1"/>
    <col min="5613" max="5613" width="19.33203125" style="81" customWidth="1"/>
    <col min="5614" max="5615" width="15" style="81" bestFit="1" customWidth="1"/>
    <col min="5616" max="5616" width="11.6640625" style="81" customWidth="1"/>
    <col min="5617" max="5617" width="15" style="81" bestFit="1" customWidth="1"/>
    <col min="5618" max="5618" width="16.6640625" style="81" bestFit="1" customWidth="1"/>
    <col min="5619" max="5620" width="13.33203125" style="81" customWidth="1"/>
    <col min="5621" max="5621" width="13" style="81" customWidth="1"/>
    <col min="5622" max="5863" width="11.5546875" style="81"/>
    <col min="5864" max="5864" width="47.33203125" style="81" customWidth="1"/>
    <col min="5865" max="5865" width="23.6640625" style="81" customWidth="1"/>
    <col min="5866" max="5866" width="21.33203125" style="81" customWidth="1"/>
    <col min="5867" max="5867" width="17.5546875" style="81" customWidth="1"/>
    <col min="5868" max="5868" width="16.33203125" style="81" customWidth="1"/>
    <col min="5869" max="5869" width="19.33203125" style="81" customWidth="1"/>
    <col min="5870" max="5871" width="15" style="81" bestFit="1" customWidth="1"/>
    <col min="5872" max="5872" width="11.6640625" style="81" customWidth="1"/>
    <col min="5873" max="5873" width="15" style="81" bestFit="1" customWidth="1"/>
    <col min="5874" max="5874" width="16.6640625" style="81" bestFit="1" customWidth="1"/>
    <col min="5875" max="5876" width="13.33203125" style="81" customWidth="1"/>
    <col min="5877" max="5877" width="13" style="81" customWidth="1"/>
    <col min="5878" max="6119" width="11.5546875" style="81"/>
    <col min="6120" max="6120" width="47.33203125" style="81" customWidth="1"/>
    <col min="6121" max="6121" width="23.6640625" style="81" customWidth="1"/>
    <col min="6122" max="6122" width="21.33203125" style="81" customWidth="1"/>
    <col min="6123" max="6123" width="17.5546875" style="81" customWidth="1"/>
    <col min="6124" max="6124" width="16.33203125" style="81" customWidth="1"/>
    <col min="6125" max="6125" width="19.33203125" style="81" customWidth="1"/>
    <col min="6126" max="6127" width="15" style="81" bestFit="1" customWidth="1"/>
    <col min="6128" max="6128" width="11.6640625" style="81" customWidth="1"/>
    <col min="6129" max="6129" width="15" style="81" bestFit="1" customWidth="1"/>
    <col min="6130" max="6130" width="16.6640625" style="81" bestFit="1" customWidth="1"/>
    <col min="6131" max="6132" width="13.33203125" style="81" customWidth="1"/>
    <col min="6133" max="6133" width="13" style="81" customWidth="1"/>
    <col min="6134" max="6375" width="11.5546875" style="81"/>
    <col min="6376" max="6376" width="47.33203125" style="81" customWidth="1"/>
    <col min="6377" max="6377" width="23.6640625" style="81" customWidth="1"/>
    <col min="6378" max="6378" width="21.33203125" style="81" customWidth="1"/>
    <col min="6379" max="6379" width="17.5546875" style="81" customWidth="1"/>
    <col min="6380" max="6380" width="16.33203125" style="81" customWidth="1"/>
    <col min="6381" max="6381" width="19.33203125" style="81" customWidth="1"/>
    <col min="6382" max="6383" width="15" style="81" bestFit="1" customWidth="1"/>
    <col min="6384" max="6384" width="11.6640625" style="81" customWidth="1"/>
    <col min="6385" max="6385" width="15" style="81" bestFit="1" customWidth="1"/>
    <col min="6386" max="6386" width="16.6640625" style="81" bestFit="1" customWidth="1"/>
    <col min="6387" max="6388" width="13.33203125" style="81" customWidth="1"/>
    <col min="6389" max="6389" width="13" style="81" customWidth="1"/>
    <col min="6390" max="6631" width="11.5546875" style="81"/>
    <col min="6632" max="6632" width="47.33203125" style="81" customWidth="1"/>
    <col min="6633" max="6633" width="23.6640625" style="81" customWidth="1"/>
    <col min="6634" max="6634" width="21.33203125" style="81" customWidth="1"/>
    <col min="6635" max="6635" width="17.5546875" style="81" customWidth="1"/>
    <col min="6636" max="6636" width="16.33203125" style="81" customWidth="1"/>
    <col min="6637" max="6637" width="19.33203125" style="81" customWidth="1"/>
    <col min="6638" max="6639" width="15" style="81" bestFit="1" customWidth="1"/>
    <col min="6640" max="6640" width="11.6640625" style="81" customWidth="1"/>
    <col min="6641" max="6641" width="15" style="81" bestFit="1" customWidth="1"/>
    <col min="6642" max="6642" width="16.6640625" style="81" bestFit="1" customWidth="1"/>
    <col min="6643" max="6644" width="13.33203125" style="81" customWidth="1"/>
    <col min="6645" max="6645" width="13" style="81" customWidth="1"/>
    <col min="6646" max="6887" width="11.5546875" style="81"/>
    <col min="6888" max="6888" width="47.33203125" style="81" customWidth="1"/>
    <col min="6889" max="6889" width="23.6640625" style="81" customWidth="1"/>
    <col min="6890" max="6890" width="21.33203125" style="81" customWidth="1"/>
    <col min="6891" max="6891" width="17.5546875" style="81" customWidth="1"/>
    <col min="6892" max="6892" width="16.33203125" style="81" customWidth="1"/>
    <col min="6893" max="6893" width="19.33203125" style="81" customWidth="1"/>
    <col min="6894" max="6895" width="15" style="81" bestFit="1" customWidth="1"/>
    <col min="6896" max="6896" width="11.6640625" style="81" customWidth="1"/>
    <col min="6897" max="6897" width="15" style="81" bestFit="1" customWidth="1"/>
    <col min="6898" max="6898" width="16.6640625" style="81" bestFit="1" customWidth="1"/>
    <col min="6899" max="6900" width="13.33203125" style="81" customWidth="1"/>
    <col min="6901" max="6901" width="13" style="81" customWidth="1"/>
    <col min="6902" max="7143" width="11.5546875" style="81"/>
    <col min="7144" max="7144" width="47.33203125" style="81" customWidth="1"/>
    <col min="7145" max="7145" width="23.6640625" style="81" customWidth="1"/>
    <col min="7146" max="7146" width="21.33203125" style="81" customWidth="1"/>
    <col min="7147" max="7147" width="17.5546875" style="81" customWidth="1"/>
    <col min="7148" max="7148" width="16.33203125" style="81" customWidth="1"/>
    <col min="7149" max="7149" width="19.33203125" style="81" customWidth="1"/>
    <col min="7150" max="7151" width="15" style="81" bestFit="1" customWidth="1"/>
    <col min="7152" max="7152" width="11.6640625" style="81" customWidth="1"/>
    <col min="7153" max="7153" width="15" style="81" bestFit="1" customWidth="1"/>
    <col min="7154" max="7154" width="16.6640625" style="81" bestFit="1" customWidth="1"/>
    <col min="7155" max="7156" width="13.33203125" style="81" customWidth="1"/>
    <col min="7157" max="7157" width="13" style="81" customWidth="1"/>
    <col min="7158" max="7399" width="11.5546875" style="81"/>
    <col min="7400" max="7400" width="47.33203125" style="81" customWidth="1"/>
    <col min="7401" max="7401" width="23.6640625" style="81" customWidth="1"/>
    <col min="7402" max="7402" width="21.33203125" style="81" customWidth="1"/>
    <col min="7403" max="7403" width="17.5546875" style="81" customWidth="1"/>
    <col min="7404" max="7404" width="16.33203125" style="81" customWidth="1"/>
    <col min="7405" max="7405" width="19.33203125" style="81" customWidth="1"/>
    <col min="7406" max="7407" width="15" style="81" bestFit="1" customWidth="1"/>
    <col min="7408" max="7408" width="11.6640625" style="81" customWidth="1"/>
    <col min="7409" max="7409" width="15" style="81" bestFit="1" customWidth="1"/>
    <col min="7410" max="7410" width="16.6640625" style="81" bestFit="1" customWidth="1"/>
    <col min="7411" max="7412" width="13.33203125" style="81" customWidth="1"/>
    <col min="7413" max="7413" width="13" style="81" customWidth="1"/>
    <col min="7414" max="7655" width="11.5546875" style="81"/>
    <col min="7656" max="7656" width="47.33203125" style="81" customWidth="1"/>
    <col min="7657" max="7657" width="23.6640625" style="81" customWidth="1"/>
    <col min="7658" max="7658" width="21.33203125" style="81" customWidth="1"/>
    <col min="7659" max="7659" width="17.5546875" style="81" customWidth="1"/>
    <col min="7660" max="7660" width="16.33203125" style="81" customWidth="1"/>
    <col min="7661" max="7661" width="19.33203125" style="81" customWidth="1"/>
    <col min="7662" max="7663" width="15" style="81" bestFit="1" customWidth="1"/>
    <col min="7664" max="7664" width="11.6640625" style="81" customWidth="1"/>
    <col min="7665" max="7665" width="15" style="81" bestFit="1" customWidth="1"/>
    <col min="7666" max="7666" width="16.6640625" style="81" bestFit="1" customWidth="1"/>
    <col min="7667" max="7668" width="13.33203125" style="81" customWidth="1"/>
    <col min="7669" max="7669" width="13" style="81" customWidth="1"/>
    <col min="7670" max="7911" width="11.5546875" style="81"/>
    <col min="7912" max="7912" width="47.33203125" style="81" customWidth="1"/>
    <col min="7913" max="7913" width="23.6640625" style="81" customWidth="1"/>
    <col min="7914" max="7914" width="21.33203125" style="81" customWidth="1"/>
    <col min="7915" max="7915" width="17.5546875" style="81" customWidth="1"/>
    <col min="7916" max="7916" width="16.33203125" style="81" customWidth="1"/>
    <col min="7917" max="7917" width="19.33203125" style="81" customWidth="1"/>
    <col min="7918" max="7919" width="15" style="81" bestFit="1" customWidth="1"/>
    <col min="7920" max="7920" width="11.6640625" style="81" customWidth="1"/>
    <col min="7921" max="7921" width="15" style="81" bestFit="1" customWidth="1"/>
    <col min="7922" max="7922" width="16.6640625" style="81" bestFit="1" customWidth="1"/>
    <col min="7923" max="7924" width="13.33203125" style="81" customWidth="1"/>
    <col min="7925" max="7925" width="13" style="81" customWidth="1"/>
    <col min="7926" max="8167" width="11.5546875" style="81"/>
    <col min="8168" max="8168" width="47.33203125" style="81" customWidth="1"/>
    <col min="8169" max="8169" width="23.6640625" style="81" customWidth="1"/>
    <col min="8170" max="8170" width="21.33203125" style="81" customWidth="1"/>
    <col min="8171" max="8171" width="17.5546875" style="81" customWidth="1"/>
    <col min="8172" max="8172" width="16.33203125" style="81" customWidth="1"/>
    <col min="8173" max="8173" width="19.33203125" style="81" customWidth="1"/>
    <col min="8174" max="8175" width="15" style="81" bestFit="1" customWidth="1"/>
    <col min="8176" max="8176" width="11.6640625" style="81" customWidth="1"/>
    <col min="8177" max="8177" width="15" style="81" bestFit="1" customWidth="1"/>
    <col min="8178" max="8178" width="16.6640625" style="81" bestFit="1" customWidth="1"/>
    <col min="8179" max="8180" width="13.33203125" style="81" customWidth="1"/>
    <col min="8181" max="8181" width="13" style="81" customWidth="1"/>
    <col min="8182" max="8423" width="11.5546875" style="81"/>
    <col min="8424" max="8424" width="47.33203125" style="81" customWidth="1"/>
    <col min="8425" max="8425" width="23.6640625" style="81" customWidth="1"/>
    <col min="8426" max="8426" width="21.33203125" style="81" customWidth="1"/>
    <col min="8427" max="8427" width="17.5546875" style="81" customWidth="1"/>
    <col min="8428" max="8428" width="16.33203125" style="81" customWidth="1"/>
    <col min="8429" max="8429" width="19.33203125" style="81" customWidth="1"/>
    <col min="8430" max="8431" width="15" style="81" bestFit="1" customWidth="1"/>
    <col min="8432" max="8432" width="11.6640625" style="81" customWidth="1"/>
    <col min="8433" max="8433" width="15" style="81" bestFit="1" customWidth="1"/>
    <col min="8434" max="8434" width="16.6640625" style="81" bestFit="1" customWidth="1"/>
    <col min="8435" max="8436" width="13.33203125" style="81" customWidth="1"/>
    <col min="8437" max="8437" width="13" style="81" customWidth="1"/>
    <col min="8438" max="8679" width="11.5546875" style="81"/>
    <col min="8680" max="8680" width="47.33203125" style="81" customWidth="1"/>
    <col min="8681" max="8681" width="23.6640625" style="81" customWidth="1"/>
    <col min="8682" max="8682" width="21.33203125" style="81" customWidth="1"/>
    <col min="8683" max="8683" width="17.5546875" style="81" customWidth="1"/>
    <col min="8684" max="8684" width="16.33203125" style="81" customWidth="1"/>
    <col min="8685" max="8685" width="19.33203125" style="81" customWidth="1"/>
    <col min="8686" max="8687" width="15" style="81" bestFit="1" customWidth="1"/>
    <col min="8688" max="8688" width="11.6640625" style="81" customWidth="1"/>
    <col min="8689" max="8689" width="15" style="81" bestFit="1" customWidth="1"/>
    <col min="8690" max="8690" width="16.6640625" style="81" bestFit="1" customWidth="1"/>
    <col min="8691" max="8692" width="13.33203125" style="81" customWidth="1"/>
    <col min="8693" max="8693" width="13" style="81" customWidth="1"/>
    <col min="8694" max="8935" width="11.5546875" style="81"/>
    <col min="8936" max="8936" width="47.33203125" style="81" customWidth="1"/>
    <col min="8937" max="8937" width="23.6640625" style="81" customWidth="1"/>
    <col min="8938" max="8938" width="21.33203125" style="81" customWidth="1"/>
    <col min="8939" max="8939" width="17.5546875" style="81" customWidth="1"/>
    <col min="8940" max="8940" width="16.33203125" style="81" customWidth="1"/>
    <col min="8941" max="8941" width="19.33203125" style="81" customWidth="1"/>
    <col min="8942" max="8943" width="15" style="81" bestFit="1" customWidth="1"/>
    <col min="8944" max="8944" width="11.6640625" style="81" customWidth="1"/>
    <col min="8945" max="8945" width="15" style="81" bestFit="1" customWidth="1"/>
    <col min="8946" max="8946" width="16.6640625" style="81" bestFit="1" customWidth="1"/>
    <col min="8947" max="8948" width="13.33203125" style="81" customWidth="1"/>
    <col min="8949" max="8949" width="13" style="81" customWidth="1"/>
    <col min="8950" max="9191" width="11.5546875" style="81"/>
    <col min="9192" max="9192" width="47.33203125" style="81" customWidth="1"/>
    <col min="9193" max="9193" width="23.6640625" style="81" customWidth="1"/>
    <col min="9194" max="9194" width="21.33203125" style="81" customWidth="1"/>
    <col min="9195" max="9195" width="17.5546875" style="81" customWidth="1"/>
    <col min="9196" max="9196" width="16.33203125" style="81" customWidth="1"/>
    <col min="9197" max="9197" width="19.33203125" style="81" customWidth="1"/>
    <col min="9198" max="9199" width="15" style="81" bestFit="1" customWidth="1"/>
    <col min="9200" max="9200" width="11.6640625" style="81" customWidth="1"/>
    <col min="9201" max="9201" width="15" style="81" bestFit="1" customWidth="1"/>
    <col min="9202" max="9202" width="16.6640625" style="81" bestFit="1" customWidth="1"/>
    <col min="9203" max="9204" width="13.33203125" style="81" customWidth="1"/>
    <col min="9205" max="9205" width="13" style="81" customWidth="1"/>
    <col min="9206" max="9447" width="11.5546875" style="81"/>
    <col min="9448" max="9448" width="47.33203125" style="81" customWidth="1"/>
    <col min="9449" max="9449" width="23.6640625" style="81" customWidth="1"/>
    <col min="9450" max="9450" width="21.33203125" style="81" customWidth="1"/>
    <col min="9451" max="9451" width="17.5546875" style="81" customWidth="1"/>
    <col min="9452" max="9452" width="16.33203125" style="81" customWidth="1"/>
    <col min="9453" max="9453" width="19.33203125" style="81" customWidth="1"/>
    <col min="9454" max="9455" width="15" style="81" bestFit="1" customWidth="1"/>
    <col min="9456" max="9456" width="11.6640625" style="81" customWidth="1"/>
    <col min="9457" max="9457" width="15" style="81" bestFit="1" customWidth="1"/>
    <col min="9458" max="9458" width="16.6640625" style="81" bestFit="1" customWidth="1"/>
    <col min="9459" max="9460" width="13.33203125" style="81" customWidth="1"/>
    <col min="9461" max="9461" width="13" style="81" customWidth="1"/>
    <col min="9462" max="9703" width="11.5546875" style="81"/>
    <col min="9704" max="9704" width="47.33203125" style="81" customWidth="1"/>
    <col min="9705" max="9705" width="23.6640625" style="81" customWidth="1"/>
    <col min="9706" max="9706" width="21.33203125" style="81" customWidth="1"/>
    <col min="9707" max="9707" width="17.5546875" style="81" customWidth="1"/>
    <col min="9708" max="9708" width="16.33203125" style="81" customWidth="1"/>
    <col min="9709" max="9709" width="19.33203125" style="81" customWidth="1"/>
    <col min="9710" max="9711" width="15" style="81" bestFit="1" customWidth="1"/>
    <col min="9712" max="9712" width="11.6640625" style="81" customWidth="1"/>
    <col min="9713" max="9713" width="15" style="81" bestFit="1" customWidth="1"/>
    <col min="9714" max="9714" width="16.6640625" style="81" bestFit="1" customWidth="1"/>
    <col min="9715" max="9716" width="13.33203125" style="81" customWidth="1"/>
    <col min="9717" max="9717" width="13" style="81" customWidth="1"/>
    <col min="9718" max="9959" width="11.5546875" style="81"/>
    <col min="9960" max="9960" width="47.33203125" style="81" customWidth="1"/>
    <col min="9961" max="9961" width="23.6640625" style="81" customWidth="1"/>
    <col min="9962" max="9962" width="21.33203125" style="81" customWidth="1"/>
    <col min="9963" max="9963" width="17.5546875" style="81" customWidth="1"/>
    <col min="9964" max="9964" width="16.33203125" style="81" customWidth="1"/>
    <col min="9965" max="9965" width="19.33203125" style="81" customWidth="1"/>
    <col min="9966" max="9967" width="15" style="81" bestFit="1" customWidth="1"/>
    <col min="9968" max="9968" width="11.6640625" style="81" customWidth="1"/>
    <col min="9969" max="9969" width="15" style="81" bestFit="1" customWidth="1"/>
    <col min="9970" max="9970" width="16.6640625" style="81" bestFit="1" customWidth="1"/>
    <col min="9971" max="9972" width="13.33203125" style="81" customWidth="1"/>
    <col min="9973" max="9973" width="13" style="81" customWidth="1"/>
    <col min="9974" max="10215" width="11.5546875" style="81"/>
    <col min="10216" max="10216" width="47.33203125" style="81" customWidth="1"/>
    <col min="10217" max="10217" width="23.6640625" style="81" customWidth="1"/>
    <col min="10218" max="10218" width="21.33203125" style="81" customWidth="1"/>
    <col min="10219" max="10219" width="17.5546875" style="81" customWidth="1"/>
    <col min="10220" max="10220" width="16.33203125" style="81" customWidth="1"/>
    <col min="10221" max="10221" width="19.33203125" style="81" customWidth="1"/>
    <col min="10222" max="10223" width="15" style="81" bestFit="1" customWidth="1"/>
    <col min="10224" max="10224" width="11.6640625" style="81" customWidth="1"/>
    <col min="10225" max="10225" width="15" style="81" bestFit="1" customWidth="1"/>
    <col min="10226" max="10226" width="16.6640625" style="81" bestFit="1" customWidth="1"/>
    <col min="10227" max="10228" width="13.33203125" style="81" customWidth="1"/>
    <col min="10229" max="10229" width="13" style="81" customWidth="1"/>
    <col min="10230" max="10471" width="11.5546875" style="81"/>
    <col min="10472" max="10472" width="47.33203125" style="81" customWidth="1"/>
    <col min="10473" max="10473" width="23.6640625" style="81" customWidth="1"/>
    <col min="10474" max="10474" width="21.33203125" style="81" customWidth="1"/>
    <col min="10475" max="10475" width="17.5546875" style="81" customWidth="1"/>
    <col min="10476" max="10476" width="16.33203125" style="81" customWidth="1"/>
    <col min="10477" max="10477" width="19.33203125" style="81" customWidth="1"/>
    <col min="10478" max="10479" width="15" style="81" bestFit="1" customWidth="1"/>
    <col min="10480" max="10480" width="11.6640625" style="81" customWidth="1"/>
    <col min="10481" max="10481" width="15" style="81" bestFit="1" customWidth="1"/>
    <col min="10482" max="10482" width="16.6640625" style="81" bestFit="1" customWidth="1"/>
    <col min="10483" max="10484" width="13.33203125" style="81" customWidth="1"/>
    <col min="10485" max="10485" width="13" style="81" customWidth="1"/>
    <col min="10486" max="10727" width="11.5546875" style="81"/>
    <col min="10728" max="10728" width="47.33203125" style="81" customWidth="1"/>
    <col min="10729" max="10729" width="23.6640625" style="81" customWidth="1"/>
    <col min="10730" max="10730" width="21.33203125" style="81" customWidth="1"/>
    <col min="10731" max="10731" width="17.5546875" style="81" customWidth="1"/>
    <col min="10732" max="10732" width="16.33203125" style="81" customWidth="1"/>
    <col min="10733" max="10733" width="19.33203125" style="81" customWidth="1"/>
    <col min="10734" max="10735" width="15" style="81" bestFit="1" customWidth="1"/>
    <col min="10736" max="10736" width="11.6640625" style="81" customWidth="1"/>
    <col min="10737" max="10737" width="15" style="81" bestFit="1" customWidth="1"/>
    <col min="10738" max="10738" width="16.6640625" style="81" bestFit="1" customWidth="1"/>
    <col min="10739" max="10740" width="13.33203125" style="81" customWidth="1"/>
    <col min="10741" max="10741" width="13" style="81" customWidth="1"/>
    <col min="10742" max="10983" width="11.5546875" style="81"/>
    <col min="10984" max="10984" width="47.33203125" style="81" customWidth="1"/>
    <col min="10985" max="10985" width="23.6640625" style="81" customWidth="1"/>
    <col min="10986" max="10986" width="21.33203125" style="81" customWidth="1"/>
    <col min="10987" max="10987" width="17.5546875" style="81" customWidth="1"/>
    <col min="10988" max="10988" width="16.33203125" style="81" customWidth="1"/>
    <col min="10989" max="10989" width="19.33203125" style="81" customWidth="1"/>
    <col min="10990" max="10991" width="15" style="81" bestFit="1" customWidth="1"/>
    <col min="10992" max="10992" width="11.6640625" style="81" customWidth="1"/>
    <col min="10993" max="10993" width="15" style="81" bestFit="1" customWidth="1"/>
    <col min="10994" max="10994" width="16.6640625" style="81" bestFit="1" customWidth="1"/>
    <col min="10995" max="10996" width="13.33203125" style="81" customWidth="1"/>
    <col min="10997" max="10997" width="13" style="81" customWidth="1"/>
    <col min="10998" max="11239" width="11.5546875" style="81"/>
    <col min="11240" max="11240" width="47.33203125" style="81" customWidth="1"/>
    <col min="11241" max="11241" width="23.6640625" style="81" customWidth="1"/>
    <col min="11242" max="11242" width="21.33203125" style="81" customWidth="1"/>
    <col min="11243" max="11243" width="17.5546875" style="81" customWidth="1"/>
    <col min="11244" max="11244" width="16.33203125" style="81" customWidth="1"/>
    <col min="11245" max="11245" width="19.33203125" style="81" customWidth="1"/>
    <col min="11246" max="11247" width="15" style="81" bestFit="1" customWidth="1"/>
    <col min="11248" max="11248" width="11.6640625" style="81" customWidth="1"/>
    <col min="11249" max="11249" width="15" style="81" bestFit="1" customWidth="1"/>
    <col min="11250" max="11250" width="16.6640625" style="81" bestFit="1" customWidth="1"/>
    <col min="11251" max="11252" width="13.33203125" style="81" customWidth="1"/>
    <col min="11253" max="11253" width="13" style="81" customWidth="1"/>
    <col min="11254" max="11495" width="11.5546875" style="81"/>
    <col min="11496" max="11496" width="47.33203125" style="81" customWidth="1"/>
    <col min="11497" max="11497" width="23.6640625" style="81" customWidth="1"/>
    <col min="11498" max="11498" width="21.33203125" style="81" customWidth="1"/>
    <col min="11499" max="11499" width="17.5546875" style="81" customWidth="1"/>
    <col min="11500" max="11500" width="16.33203125" style="81" customWidth="1"/>
    <col min="11501" max="11501" width="19.33203125" style="81" customWidth="1"/>
    <col min="11502" max="11503" width="15" style="81" bestFit="1" customWidth="1"/>
    <col min="11504" max="11504" width="11.6640625" style="81" customWidth="1"/>
    <col min="11505" max="11505" width="15" style="81" bestFit="1" customWidth="1"/>
    <col min="11506" max="11506" width="16.6640625" style="81" bestFit="1" customWidth="1"/>
    <col min="11507" max="11508" width="13.33203125" style="81" customWidth="1"/>
    <col min="11509" max="11509" width="13" style="81" customWidth="1"/>
    <col min="11510" max="11751" width="11.5546875" style="81"/>
    <col min="11752" max="11752" width="47.33203125" style="81" customWidth="1"/>
    <col min="11753" max="11753" width="23.6640625" style="81" customWidth="1"/>
    <col min="11754" max="11754" width="21.33203125" style="81" customWidth="1"/>
    <col min="11755" max="11755" width="17.5546875" style="81" customWidth="1"/>
    <col min="11756" max="11756" width="16.33203125" style="81" customWidth="1"/>
    <col min="11757" max="11757" width="19.33203125" style="81" customWidth="1"/>
    <col min="11758" max="11759" width="15" style="81" bestFit="1" customWidth="1"/>
    <col min="11760" max="11760" width="11.6640625" style="81" customWidth="1"/>
    <col min="11761" max="11761" width="15" style="81" bestFit="1" customWidth="1"/>
    <col min="11762" max="11762" width="16.6640625" style="81" bestFit="1" customWidth="1"/>
    <col min="11763" max="11764" width="13.33203125" style="81" customWidth="1"/>
    <col min="11765" max="11765" width="13" style="81" customWidth="1"/>
    <col min="11766" max="12007" width="11.5546875" style="81"/>
    <col min="12008" max="12008" width="47.33203125" style="81" customWidth="1"/>
    <col min="12009" max="12009" width="23.6640625" style="81" customWidth="1"/>
    <col min="12010" max="12010" width="21.33203125" style="81" customWidth="1"/>
    <col min="12011" max="12011" width="17.5546875" style="81" customWidth="1"/>
    <col min="12012" max="12012" width="16.33203125" style="81" customWidth="1"/>
    <col min="12013" max="12013" width="19.33203125" style="81" customWidth="1"/>
    <col min="12014" max="12015" width="15" style="81" bestFit="1" customWidth="1"/>
    <col min="12016" max="12016" width="11.6640625" style="81" customWidth="1"/>
    <col min="12017" max="12017" width="15" style="81" bestFit="1" customWidth="1"/>
    <col min="12018" max="12018" width="16.6640625" style="81" bestFit="1" customWidth="1"/>
    <col min="12019" max="12020" width="13.33203125" style="81" customWidth="1"/>
    <col min="12021" max="12021" width="13" style="81" customWidth="1"/>
    <col min="12022" max="12263" width="11.5546875" style="81"/>
    <col min="12264" max="12264" width="47.33203125" style="81" customWidth="1"/>
    <col min="12265" max="12265" width="23.6640625" style="81" customWidth="1"/>
    <col min="12266" max="12266" width="21.33203125" style="81" customWidth="1"/>
    <col min="12267" max="12267" width="17.5546875" style="81" customWidth="1"/>
    <col min="12268" max="12268" width="16.33203125" style="81" customWidth="1"/>
    <col min="12269" max="12269" width="19.33203125" style="81" customWidth="1"/>
    <col min="12270" max="12271" width="15" style="81" bestFit="1" customWidth="1"/>
    <col min="12272" max="12272" width="11.6640625" style="81" customWidth="1"/>
    <col min="12273" max="12273" width="15" style="81" bestFit="1" customWidth="1"/>
    <col min="12274" max="12274" width="16.6640625" style="81" bestFit="1" customWidth="1"/>
    <col min="12275" max="12276" width="13.33203125" style="81" customWidth="1"/>
    <col min="12277" max="12277" width="13" style="81" customWidth="1"/>
    <col min="12278" max="12519" width="11.5546875" style="81"/>
    <col min="12520" max="12520" width="47.33203125" style="81" customWidth="1"/>
    <col min="12521" max="12521" width="23.6640625" style="81" customWidth="1"/>
    <col min="12522" max="12522" width="21.33203125" style="81" customWidth="1"/>
    <col min="12523" max="12523" width="17.5546875" style="81" customWidth="1"/>
    <col min="12524" max="12524" width="16.33203125" style="81" customWidth="1"/>
    <col min="12525" max="12525" width="19.33203125" style="81" customWidth="1"/>
    <col min="12526" max="12527" width="15" style="81" bestFit="1" customWidth="1"/>
    <col min="12528" max="12528" width="11.6640625" style="81" customWidth="1"/>
    <col min="12529" max="12529" width="15" style="81" bestFit="1" customWidth="1"/>
    <col min="12530" max="12530" width="16.6640625" style="81" bestFit="1" customWidth="1"/>
    <col min="12531" max="12532" width="13.33203125" style="81" customWidth="1"/>
    <col min="12533" max="12533" width="13" style="81" customWidth="1"/>
    <col min="12534" max="12775" width="11.5546875" style="81"/>
    <col min="12776" max="12776" width="47.33203125" style="81" customWidth="1"/>
    <col min="12777" max="12777" width="23.6640625" style="81" customWidth="1"/>
    <col min="12778" max="12778" width="21.33203125" style="81" customWidth="1"/>
    <col min="12779" max="12779" width="17.5546875" style="81" customWidth="1"/>
    <col min="12780" max="12780" width="16.33203125" style="81" customWidth="1"/>
    <col min="12781" max="12781" width="19.33203125" style="81" customWidth="1"/>
    <col min="12782" max="12783" width="15" style="81" bestFit="1" customWidth="1"/>
    <col min="12784" max="12784" width="11.6640625" style="81" customWidth="1"/>
    <col min="12785" max="12785" width="15" style="81" bestFit="1" customWidth="1"/>
    <col min="12786" max="12786" width="16.6640625" style="81" bestFit="1" customWidth="1"/>
    <col min="12787" max="12788" width="13.33203125" style="81" customWidth="1"/>
    <col min="12789" max="12789" width="13" style="81" customWidth="1"/>
    <col min="12790" max="13031" width="11.5546875" style="81"/>
    <col min="13032" max="13032" width="47.33203125" style="81" customWidth="1"/>
    <col min="13033" max="13033" width="23.6640625" style="81" customWidth="1"/>
    <col min="13034" max="13034" width="21.33203125" style="81" customWidth="1"/>
    <col min="13035" max="13035" width="17.5546875" style="81" customWidth="1"/>
    <col min="13036" max="13036" width="16.33203125" style="81" customWidth="1"/>
    <col min="13037" max="13037" width="19.33203125" style="81" customWidth="1"/>
    <col min="13038" max="13039" width="15" style="81" bestFit="1" customWidth="1"/>
    <col min="13040" max="13040" width="11.6640625" style="81" customWidth="1"/>
    <col min="13041" max="13041" width="15" style="81" bestFit="1" customWidth="1"/>
    <col min="13042" max="13042" width="16.6640625" style="81" bestFit="1" customWidth="1"/>
    <col min="13043" max="13044" width="13.33203125" style="81" customWidth="1"/>
    <col min="13045" max="13045" width="13" style="81" customWidth="1"/>
    <col min="13046" max="13287" width="11.5546875" style="81"/>
    <col min="13288" max="13288" width="47.33203125" style="81" customWidth="1"/>
    <col min="13289" max="13289" width="23.6640625" style="81" customWidth="1"/>
    <col min="13290" max="13290" width="21.33203125" style="81" customWidth="1"/>
    <col min="13291" max="13291" width="17.5546875" style="81" customWidth="1"/>
    <col min="13292" max="13292" width="16.33203125" style="81" customWidth="1"/>
    <col min="13293" max="13293" width="19.33203125" style="81" customWidth="1"/>
    <col min="13294" max="13295" width="15" style="81" bestFit="1" customWidth="1"/>
    <col min="13296" max="13296" width="11.6640625" style="81" customWidth="1"/>
    <col min="13297" max="13297" width="15" style="81" bestFit="1" customWidth="1"/>
    <col min="13298" max="13298" width="16.6640625" style="81" bestFit="1" customWidth="1"/>
    <col min="13299" max="13300" width="13.33203125" style="81" customWidth="1"/>
    <col min="13301" max="13301" width="13" style="81" customWidth="1"/>
    <col min="13302" max="13543" width="11.5546875" style="81"/>
    <col min="13544" max="13544" width="47.33203125" style="81" customWidth="1"/>
    <col min="13545" max="13545" width="23.6640625" style="81" customWidth="1"/>
    <col min="13546" max="13546" width="21.33203125" style="81" customWidth="1"/>
    <col min="13547" max="13547" width="17.5546875" style="81" customWidth="1"/>
    <col min="13548" max="13548" width="16.33203125" style="81" customWidth="1"/>
    <col min="13549" max="13549" width="19.33203125" style="81" customWidth="1"/>
    <col min="13550" max="13551" width="15" style="81" bestFit="1" customWidth="1"/>
    <col min="13552" max="13552" width="11.6640625" style="81" customWidth="1"/>
    <col min="13553" max="13553" width="15" style="81" bestFit="1" customWidth="1"/>
    <col min="13554" max="13554" width="16.6640625" style="81" bestFit="1" customWidth="1"/>
    <col min="13555" max="13556" width="13.33203125" style="81" customWidth="1"/>
    <col min="13557" max="13557" width="13" style="81" customWidth="1"/>
    <col min="13558" max="13799" width="11.5546875" style="81"/>
    <col min="13800" max="13800" width="47.33203125" style="81" customWidth="1"/>
    <col min="13801" max="13801" width="23.6640625" style="81" customWidth="1"/>
    <col min="13802" max="13802" width="21.33203125" style="81" customWidth="1"/>
    <col min="13803" max="13803" width="17.5546875" style="81" customWidth="1"/>
    <col min="13804" max="13804" width="16.33203125" style="81" customWidth="1"/>
    <col min="13805" max="13805" width="19.33203125" style="81" customWidth="1"/>
    <col min="13806" max="13807" width="15" style="81" bestFit="1" customWidth="1"/>
    <col min="13808" max="13808" width="11.6640625" style="81" customWidth="1"/>
    <col min="13809" max="13809" width="15" style="81" bestFit="1" customWidth="1"/>
    <col min="13810" max="13810" width="16.6640625" style="81" bestFit="1" customWidth="1"/>
    <col min="13811" max="13812" width="13.33203125" style="81" customWidth="1"/>
    <col min="13813" max="13813" width="13" style="81" customWidth="1"/>
    <col min="13814" max="14055" width="11.5546875" style="81"/>
    <col min="14056" max="14056" width="47.33203125" style="81" customWidth="1"/>
    <col min="14057" max="14057" width="23.6640625" style="81" customWidth="1"/>
    <col min="14058" max="14058" width="21.33203125" style="81" customWidth="1"/>
    <col min="14059" max="14059" width="17.5546875" style="81" customWidth="1"/>
    <col min="14060" max="14060" width="16.33203125" style="81" customWidth="1"/>
    <col min="14061" max="14061" width="19.33203125" style="81" customWidth="1"/>
    <col min="14062" max="14063" width="15" style="81" bestFit="1" customWidth="1"/>
    <col min="14064" max="14064" width="11.6640625" style="81" customWidth="1"/>
    <col min="14065" max="14065" width="15" style="81" bestFit="1" customWidth="1"/>
    <col min="14066" max="14066" width="16.6640625" style="81" bestFit="1" customWidth="1"/>
    <col min="14067" max="14068" width="13.33203125" style="81" customWidth="1"/>
    <col min="14069" max="14069" width="13" style="81" customWidth="1"/>
    <col min="14070" max="14311" width="11.5546875" style="81"/>
    <col min="14312" max="14312" width="47.33203125" style="81" customWidth="1"/>
    <col min="14313" max="14313" width="23.6640625" style="81" customWidth="1"/>
    <col min="14314" max="14314" width="21.33203125" style="81" customWidth="1"/>
    <col min="14315" max="14315" width="17.5546875" style="81" customWidth="1"/>
    <col min="14316" max="14316" width="16.33203125" style="81" customWidth="1"/>
    <col min="14317" max="14317" width="19.33203125" style="81" customWidth="1"/>
    <col min="14318" max="14319" width="15" style="81" bestFit="1" customWidth="1"/>
    <col min="14320" max="14320" width="11.6640625" style="81" customWidth="1"/>
    <col min="14321" max="14321" width="15" style="81" bestFit="1" customWidth="1"/>
    <col min="14322" max="14322" width="16.6640625" style="81" bestFit="1" customWidth="1"/>
    <col min="14323" max="14324" width="13.33203125" style="81" customWidth="1"/>
    <col min="14325" max="14325" width="13" style="81" customWidth="1"/>
    <col min="14326" max="14567" width="11.5546875" style="81"/>
    <col min="14568" max="14568" width="47.33203125" style="81" customWidth="1"/>
    <col min="14569" max="14569" width="23.6640625" style="81" customWidth="1"/>
    <col min="14570" max="14570" width="21.33203125" style="81" customWidth="1"/>
    <col min="14571" max="14571" width="17.5546875" style="81" customWidth="1"/>
    <col min="14572" max="14572" width="16.33203125" style="81" customWidth="1"/>
    <col min="14573" max="14573" width="19.33203125" style="81" customWidth="1"/>
    <col min="14574" max="14575" width="15" style="81" bestFit="1" customWidth="1"/>
    <col min="14576" max="14576" width="11.6640625" style="81" customWidth="1"/>
    <col min="14577" max="14577" width="15" style="81" bestFit="1" customWidth="1"/>
    <col min="14578" max="14578" width="16.6640625" style="81" bestFit="1" customWidth="1"/>
    <col min="14579" max="14580" width="13.33203125" style="81" customWidth="1"/>
    <col min="14581" max="14581" width="13" style="81" customWidth="1"/>
    <col min="14582" max="14823" width="11.5546875" style="81"/>
    <col min="14824" max="14824" width="47.33203125" style="81" customWidth="1"/>
    <col min="14825" max="14825" width="23.6640625" style="81" customWidth="1"/>
    <col min="14826" max="14826" width="21.33203125" style="81" customWidth="1"/>
    <col min="14827" max="14827" width="17.5546875" style="81" customWidth="1"/>
    <col min="14828" max="14828" width="16.33203125" style="81" customWidth="1"/>
    <col min="14829" max="14829" width="19.33203125" style="81" customWidth="1"/>
    <col min="14830" max="14831" width="15" style="81" bestFit="1" customWidth="1"/>
    <col min="14832" max="14832" width="11.6640625" style="81" customWidth="1"/>
    <col min="14833" max="14833" width="15" style="81" bestFit="1" customWidth="1"/>
    <col min="14834" max="14834" width="16.6640625" style="81" bestFit="1" customWidth="1"/>
    <col min="14835" max="14836" width="13.33203125" style="81" customWidth="1"/>
    <col min="14837" max="14837" width="13" style="81" customWidth="1"/>
    <col min="14838" max="15079" width="11.5546875" style="81"/>
    <col min="15080" max="15080" width="47.33203125" style="81" customWidth="1"/>
    <col min="15081" max="15081" width="23.6640625" style="81" customWidth="1"/>
    <col min="15082" max="15082" width="21.33203125" style="81" customWidth="1"/>
    <col min="15083" max="15083" width="17.5546875" style="81" customWidth="1"/>
    <col min="15084" max="15084" width="16.33203125" style="81" customWidth="1"/>
    <col min="15085" max="15085" width="19.33203125" style="81" customWidth="1"/>
    <col min="15086" max="15087" width="15" style="81" bestFit="1" customWidth="1"/>
    <col min="15088" max="15088" width="11.6640625" style="81" customWidth="1"/>
    <col min="15089" max="15089" width="15" style="81" bestFit="1" customWidth="1"/>
    <col min="15090" max="15090" width="16.6640625" style="81" bestFit="1" customWidth="1"/>
    <col min="15091" max="15092" width="13.33203125" style="81" customWidth="1"/>
    <col min="15093" max="15093" width="13" style="81" customWidth="1"/>
    <col min="15094" max="15335" width="11.5546875" style="81"/>
    <col min="15336" max="15336" width="47.33203125" style="81" customWidth="1"/>
    <col min="15337" max="15337" width="23.6640625" style="81" customWidth="1"/>
    <col min="15338" max="15338" width="21.33203125" style="81" customWidth="1"/>
    <col min="15339" max="15339" width="17.5546875" style="81" customWidth="1"/>
    <col min="15340" max="15340" width="16.33203125" style="81" customWidth="1"/>
    <col min="15341" max="15341" width="19.33203125" style="81" customWidth="1"/>
    <col min="15342" max="15343" width="15" style="81" bestFit="1" customWidth="1"/>
    <col min="15344" max="15344" width="11.6640625" style="81" customWidth="1"/>
    <col min="15345" max="15345" width="15" style="81" bestFit="1" customWidth="1"/>
    <col min="15346" max="15346" width="16.6640625" style="81" bestFit="1" customWidth="1"/>
    <col min="15347" max="15348" width="13.33203125" style="81" customWidth="1"/>
    <col min="15349" max="15349" width="13" style="81" customWidth="1"/>
    <col min="15350" max="15591" width="11.5546875" style="81"/>
    <col min="15592" max="15592" width="47.33203125" style="81" customWidth="1"/>
    <col min="15593" max="15593" width="23.6640625" style="81" customWidth="1"/>
    <col min="15594" max="15594" width="21.33203125" style="81" customWidth="1"/>
    <col min="15595" max="15595" width="17.5546875" style="81" customWidth="1"/>
    <col min="15596" max="15596" width="16.33203125" style="81" customWidth="1"/>
    <col min="15597" max="15597" width="19.33203125" style="81" customWidth="1"/>
    <col min="15598" max="15599" width="15" style="81" bestFit="1" customWidth="1"/>
    <col min="15600" max="15600" width="11.6640625" style="81" customWidth="1"/>
    <col min="15601" max="15601" width="15" style="81" bestFit="1" customWidth="1"/>
    <col min="15602" max="15602" width="16.6640625" style="81" bestFit="1" customWidth="1"/>
    <col min="15603" max="15604" width="13.33203125" style="81" customWidth="1"/>
    <col min="15605" max="15605" width="13" style="81" customWidth="1"/>
    <col min="15606" max="15847" width="11.5546875" style="81"/>
    <col min="15848" max="15848" width="47.33203125" style="81" customWidth="1"/>
    <col min="15849" max="15849" width="23.6640625" style="81" customWidth="1"/>
    <col min="15850" max="15850" width="21.33203125" style="81" customWidth="1"/>
    <col min="15851" max="15851" width="17.5546875" style="81" customWidth="1"/>
    <col min="15852" max="15852" width="16.33203125" style="81" customWidth="1"/>
    <col min="15853" max="15853" width="19.33203125" style="81" customWidth="1"/>
    <col min="15854" max="15855" width="15" style="81" bestFit="1" customWidth="1"/>
    <col min="15856" max="15856" width="11.6640625" style="81" customWidth="1"/>
    <col min="15857" max="15857" width="15" style="81" bestFit="1" customWidth="1"/>
    <col min="15858" max="15858" width="16.6640625" style="81" bestFit="1" customWidth="1"/>
    <col min="15859" max="15860" width="13.33203125" style="81" customWidth="1"/>
    <col min="15861" max="15861" width="13" style="81" customWidth="1"/>
    <col min="15862" max="16103" width="11.5546875" style="81"/>
    <col min="16104" max="16104" width="47.33203125" style="81" customWidth="1"/>
    <col min="16105" max="16105" width="23.6640625" style="81" customWidth="1"/>
    <col min="16106" max="16106" width="21.33203125" style="81" customWidth="1"/>
    <col min="16107" max="16107" width="17.5546875" style="81" customWidth="1"/>
    <col min="16108" max="16108" width="16.33203125" style="81" customWidth="1"/>
    <col min="16109" max="16109" width="19.33203125" style="81" customWidth="1"/>
    <col min="16110" max="16111" width="15" style="81" bestFit="1" customWidth="1"/>
    <col min="16112" max="16112" width="11.6640625" style="81" customWidth="1"/>
    <col min="16113" max="16113" width="15" style="81" bestFit="1" customWidth="1"/>
    <col min="16114" max="16114" width="16.6640625" style="81" bestFit="1" customWidth="1"/>
    <col min="16115" max="16116" width="13.33203125" style="81" customWidth="1"/>
    <col min="16117" max="16117" width="13" style="81" customWidth="1"/>
    <col min="16118" max="16358" width="11.5546875" style="81"/>
    <col min="16359" max="16367" width="11.44140625" style="81" customWidth="1"/>
    <col min="16368" max="16369" width="11.5546875" style="81"/>
    <col min="16370" max="16384" width="11.44140625" style="81" customWidth="1"/>
  </cols>
  <sheetData>
    <row r="1" spans="2:12" ht="30" customHeight="1" x14ac:dyDescent="0.25">
      <c r="B1" s="78" t="s">
        <v>178</v>
      </c>
      <c r="C1" s="79"/>
      <c r="D1" s="79"/>
    </row>
    <row r="2" spans="2:12" ht="30" customHeight="1" x14ac:dyDescent="0.25">
      <c r="B2" s="78" t="s">
        <v>18</v>
      </c>
      <c r="C2" s="79"/>
      <c r="D2" s="79"/>
    </row>
    <row r="3" spans="2:12" s="83" customFormat="1" ht="45" customHeight="1" x14ac:dyDescent="0.25">
      <c r="B3" s="82" t="s">
        <v>11</v>
      </c>
      <c r="C3" s="111" t="s">
        <v>182</v>
      </c>
      <c r="D3" s="151" t="str">
        <f>VLOOKUP($C$3,donnees_sources_HAD!$B$3:$EI$938,2,FALSE)</f>
        <v>raison sociale</v>
      </c>
      <c r="E3" s="87" t="str">
        <f>IF(VLOOKUP($C$3,donnees_sources_HAD!$B$3:$EH$939,20,FALSE) = 1, "Attention cas particulier (Ne pas se référer aux calculs, cf onglet cas particuliers)", "Cas général")</f>
        <v>Cas général</v>
      </c>
    </row>
    <row r="4" spans="2:12" x14ac:dyDescent="0.25">
      <c r="B4" s="83"/>
      <c r="C4" s="83"/>
      <c r="D4" s="83"/>
    </row>
    <row r="5" spans="2:12" x14ac:dyDescent="0.25">
      <c r="B5" s="3" t="s">
        <v>22</v>
      </c>
      <c r="C5" s="3"/>
      <c r="D5" s="22"/>
    </row>
    <row r="6" spans="2:12" x14ac:dyDescent="0.25">
      <c r="B6" s="84" t="s">
        <v>9</v>
      </c>
      <c r="C6" s="9" t="str">
        <f>VLOOKUP($C$3,donnees_sources_HAD!$B$3:$EI$938,4,FALSE)</f>
        <v>EBNL</v>
      </c>
      <c r="D6" s="11"/>
    </row>
    <row r="7" spans="2:12" x14ac:dyDescent="0.25">
      <c r="B7" s="105"/>
      <c r="C7" s="11"/>
      <c r="D7" s="11"/>
    </row>
    <row r="8" spans="2:12" x14ac:dyDescent="0.25">
      <c r="B8" s="105"/>
      <c r="C8" s="11"/>
      <c r="D8" s="11"/>
    </row>
    <row r="9" spans="2:12" ht="26.4" x14ac:dyDescent="0.25">
      <c r="B9" s="37" t="s">
        <v>98</v>
      </c>
      <c r="C9" s="2"/>
      <c r="D9" s="2"/>
      <c r="E9" s="87"/>
      <c r="F9" s="87"/>
      <c r="G9" s="87"/>
    </row>
    <row r="10" spans="2:12" s="104" customFormat="1" ht="70.2" x14ac:dyDescent="0.3">
      <c r="B10" s="88"/>
      <c r="C10" s="89" t="s">
        <v>198</v>
      </c>
      <c r="D10" s="92" t="s">
        <v>199</v>
      </c>
      <c r="E10" s="89" t="s">
        <v>61</v>
      </c>
      <c r="F10" s="89" t="s">
        <v>147</v>
      </c>
      <c r="G10" s="89" t="s">
        <v>146</v>
      </c>
      <c r="H10" s="93" t="s">
        <v>200</v>
      </c>
      <c r="I10" s="93" t="s">
        <v>193</v>
      </c>
    </row>
    <row r="11" spans="2:12" x14ac:dyDescent="0.25">
      <c r="B11" s="106" t="s">
        <v>19</v>
      </c>
      <c r="C11" s="123">
        <f>VLOOKUP($C$3,donnees_sources_HAD!$B$3:$EI$938,ROW()-5,FALSE)</f>
        <v>13156915.9</v>
      </c>
      <c r="D11" s="31">
        <f>ROUND(IF($C$6="EPS",Taux!$B$22,Taux!$C$22), 4)</f>
        <v>3.6600000000000001E-2</v>
      </c>
      <c r="E11" s="123">
        <f>C11*(6/10)*(1+D11)</f>
        <v>8183075.413164</v>
      </c>
      <c r="F11" s="123">
        <f>VLOOKUP($C$3,donnees_sources_HAD!$B$3:$EI$938,ROW()-2,FALSE)</f>
        <v>1315692</v>
      </c>
      <c r="G11" s="123">
        <f>VLOOKUP($C$3,donnees_sources_HAD!$B$3:$EI$938,ROW()-2,FALSE)</f>
        <v>1315692</v>
      </c>
      <c r="H11" s="123">
        <f>ROUND((E11-F11-G11)/4,0)</f>
        <v>1387923</v>
      </c>
      <c r="I11" s="123">
        <f>F11+G11+4*H11</f>
        <v>8183076</v>
      </c>
      <c r="J11" s="103"/>
      <c r="K11" s="103"/>
      <c r="L11" s="103"/>
    </row>
    <row r="12" spans="2:12" x14ac:dyDescent="0.25">
      <c r="B12" s="106" t="s">
        <v>20</v>
      </c>
      <c r="C12" s="123">
        <f>VLOOKUP($C$3,donnees_sources_HAD!$B$3:$EI$938,ROW()-5,FALSE)</f>
        <v>21900.32</v>
      </c>
      <c r="D12" s="31">
        <f>ROUND(IF($C$6="EPS",Taux!$B$22,Taux!$C$22), 4)</f>
        <v>3.6600000000000001E-2</v>
      </c>
      <c r="E12" s="123">
        <f>C12*(6/10)*(1+D12)</f>
        <v>13621.123027199999</v>
      </c>
      <c r="F12" s="123">
        <f>VLOOKUP($C$3,donnees_sources_HAD!$B$3:$EI$938,ROW()-2,FALSE)</f>
        <v>2190</v>
      </c>
      <c r="G12" s="123">
        <f>VLOOKUP($C$3,donnees_sources_HAD!$B$3:$EI$938,ROW()-2,FALSE)</f>
        <v>2190</v>
      </c>
      <c r="H12" s="123">
        <f>ROUND((E12-F12-G12)/4,0)</f>
        <v>2310</v>
      </c>
      <c r="I12" s="123">
        <f>F12+G12+4*H12</f>
        <v>13620</v>
      </c>
      <c r="J12" s="103"/>
      <c r="K12" s="103"/>
      <c r="L12" s="103"/>
    </row>
    <row r="13" spans="2:12" x14ac:dyDescent="0.25">
      <c r="B13" s="107" t="s">
        <v>24</v>
      </c>
      <c r="C13" s="124">
        <f>VLOOKUP($C$3,donnees_sources_HAD!$B$3:$EI$938,ROW()-5,FALSE)</f>
        <v>13178816.220000001</v>
      </c>
      <c r="D13" s="146"/>
      <c r="E13" s="124">
        <f>SUM(E11:E12)</f>
        <v>8196696.5361911999</v>
      </c>
      <c r="F13" s="124">
        <f>VLOOKUP($C$3,donnees_sources_HAD!$B$3:$EI$938,ROW()-2,FALSE)</f>
        <v>1317882</v>
      </c>
      <c r="G13" s="124">
        <f>VLOOKUP($C$3,donnees_sources_HAD!$B$3:$EI$938,ROW()-2,FALSE)</f>
        <v>1317882</v>
      </c>
      <c r="H13" s="124">
        <f>SUM(H11:H12)</f>
        <v>1390233</v>
      </c>
      <c r="I13" s="124">
        <f>SUM(I11:I12)</f>
        <v>8196696</v>
      </c>
      <c r="J13" s="103"/>
      <c r="K13" s="103"/>
      <c r="L13" s="103"/>
    </row>
    <row r="14" spans="2:12" x14ac:dyDescent="0.25">
      <c r="B14" s="83"/>
      <c r="C14" s="100"/>
      <c r="D14" s="100"/>
      <c r="E14" s="147"/>
      <c r="F14" s="103"/>
      <c r="G14" s="103"/>
      <c r="H14" s="103"/>
      <c r="I14" s="103"/>
      <c r="J14" s="103"/>
      <c r="K14" s="103"/>
      <c r="L14" s="103"/>
    </row>
    <row r="15" spans="2:12" x14ac:dyDescent="0.25">
      <c r="C15" s="103"/>
      <c r="D15" s="100"/>
      <c r="E15" s="103"/>
      <c r="F15" s="103"/>
      <c r="G15" s="103"/>
      <c r="H15" s="103"/>
      <c r="I15" s="103"/>
      <c r="J15" s="103"/>
      <c r="K15" s="103"/>
      <c r="L15" s="103"/>
    </row>
    <row r="16" spans="2:12" x14ac:dyDescent="0.25">
      <c r="C16" s="103"/>
      <c r="D16" s="103"/>
      <c r="E16" s="103"/>
      <c r="F16" s="103"/>
      <c r="G16" s="103"/>
      <c r="H16" s="103"/>
      <c r="I16" s="103"/>
      <c r="J16" s="103"/>
      <c r="K16" s="103"/>
      <c r="L16" s="103"/>
    </row>
    <row r="17" spans="2:12" x14ac:dyDescent="0.25">
      <c r="B17" s="38" t="s">
        <v>97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s="104" customFormat="1" ht="70.2" x14ac:dyDescent="0.3">
      <c r="B18" s="88" t="s">
        <v>54</v>
      </c>
      <c r="C18" s="143" t="s">
        <v>167</v>
      </c>
      <c r="D18" s="143" t="s">
        <v>145</v>
      </c>
      <c r="E18" s="89" t="s">
        <v>201</v>
      </c>
      <c r="F18" s="144"/>
      <c r="G18" s="144"/>
      <c r="H18" s="144"/>
      <c r="I18" s="144"/>
      <c r="J18" s="144"/>
      <c r="K18" s="144"/>
      <c r="L18" s="144"/>
    </row>
    <row r="19" spans="2:12" x14ac:dyDescent="0.25">
      <c r="B19" s="95" t="s">
        <v>72</v>
      </c>
      <c r="C19" s="122">
        <f>VLOOKUP($C$3,donnees_sources_HAD!$B$3:$EI$938,ROW()-7,FALSE)</f>
        <v>408483.6834999987</v>
      </c>
      <c r="D19" s="122">
        <f>VLOOKUP($C$3,donnees_sources_HAD!$B$3:$EI$938,ROW()-3,FALSE)</f>
        <v>34040</v>
      </c>
      <c r="E19" s="122">
        <f>ROUND(((C19*(6/12))-2*D19)/4,0)</f>
        <v>34040</v>
      </c>
      <c r="F19" s="103"/>
      <c r="G19" s="103"/>
      <c r="H19" s="103"/>
      <c r="I19" s="103"/>
      <c r="J19" s="103"/>
      <c r="K19" s="103"/>
      <c r="L19" s="103"/>
    </row>
    <row r="20" spans="2:12" x14ac:dyDescent="0.25">
      <c r="B20" s="95" t="s">
        <v>73</v>
      </c>
      <c r="C20" s="122">
        <f>VLOOKUP($C$3,donnees_sources_HAD!$B$3:$EI$938,ROW()-7,FALSE)</f>
        <v>3567.84</v>
      </c>
      <c r="D20" s="122">
        <f>VLOOKUP($C$3,donnees_sources_HAD!$B$3:$EI$938,ROW()-3,FALSE)</f>
        <v>297</v>
      </c>
      <c r="E20" s="122">
        <f>ROUND(((C20/2)-2*D20)/4,0)</f>
        <v>297</v>
      </c>
      <c r="F20" s="103"/>
      <c r="G20" s="103"/>
      <c r="H20" s="103"/>
      <c r="I20" s="103"/>
      <c r="J20" s="103"/>
      <c r="K20" s="103"/>
      <c r="L20" s="103"/>
    </row>
    <row r="21" spans="2:12" x14ac:dyDescent="0.25">
      <c r="B21" s="96" t="s">
        <v>89</v>
      </c>
      <c r="C21" s="114">
        <f>SUM(C19:C20)</f>
        <v>412051.52349999873</v>
      </c>
      <c r="D21" s="114">
        <f t="shared" ref="D21:E21" si="0">SUM(D19:D20)</f>
        <v>34337</v>
      </c>
      <c r="E21" s="114">
        <f t="shared" si="0"/>
        <v>34337</v>
      </c>
      <c r="F21" s="103"/>
      <c r="G21" s="103"/>
      <c r="H21" s="103"/>
      <c r="I21" s="103"/>
      <c r="J21" s="103"/>
      <c r="K21" s="103"/>
      <c r="L21" s="103"/>
    </row>
    <row r="22" spans="2:12" x14ac:dyDescent="0.25">
      <c r="B22" s="95" t="s">
        <v>74</v>
      </c>
      <c r="C22" s="122">
        <f>VLOOKUP($C$3,donnees_sources_HAD!$B$3:$EI$938,ROW()-8,FALSE)</f>
        <v>0</v>
      </c>
      <c r="D22" s="122">
        <f>VLOOKUP($C$3,donnees_sources_HAD!$B$3:$EI$938,ROW()-4,FALSE)</f>
        <v>0</v>
      </c>
      <c r="E22" s="122">
        <f>ROUND(((C22/2)-2*D22)/4,0)</f>
        <v>0</v>
      </c>
      <c r="F22" s="103"/>
      <c r="G22" s="103"/>
      <c r="H22" s="103"/>
      <c r="I22" s="103"/>
      <c r="J22" s="103"/>
      <c r="K22" s="103"/>
      <c r="L22" s="103"/>
    </row>
    <row r="23" spans="2:12" x14ac:dyDescent="0.25">
      <c r="B23" s="95" t="s">
        <v>75</v>
      </c>
      <c r="C23" s="122">
        <f>VLOOKUP($C$3,donnees_sources_HAD!$B$3:$EI$938,ROW()-8,FALSE)</f>
        <v>0</v>
      </c>
      <c r="D23" s="122">
        <f>VLOOKUP($C$3,donnees_sources_HAD!$B$3:$EI$938,ROW()-4,FALSE)</f>
        <v>0</v>
      </c>
      <c r="E23" s="122">
        <f>ROUND(((C23/2)-2*D23)/4,0)</f>
        <v>0</v>
      </c>
      <c r="F23" s="103"/>
      <c r="G23" s="103"/>
      <c r="H23" s="103"/>
      <c r="I23" s="103"/>
      <c r="J23" s="103"/>
      <c r="K23" s="103"/>
      <c r="L23" s="103"/>
    </row>
    <row r="24" spans="2:12" x14ac:dyDescent="0.25">
      <c r="B24" s="96" t="s">
        <v>90</v>
      </c>
      <c r="C24" s="114">
        <f>SUM(C22:C23)</f>
        <v>0</v>
      </c>
      <c r="D24" s="114">
        <f t="shared" ref="D24:E24" si="1">SUM(D22:D23)</f>
        <v>0</v>
      </c>
      <c r="E24" s="114">
        <f t="shared" si="1"/>
        <v>0</v>
      </c>
      <c r="F24" s="103"/>
      <c r="G24" s="103"/>
      <c r="H24" s="103"/>
      <c r="I24" s="103"/>
      <c r="J24" s="103"/>
      <c r="K24" s="103"/>
      <c r="L24" s="103"/>
    </row>
    <row r="25" spans="2:12" x14ac:dyDescent="0.25">
      <c r="B25" s="107" t="s">
        <v>24</v>
      </c>
      <c r="C25" s="124">
        <f>C21+C24</f>
        <v>412051.52349999873</v>
      </c>
      <c r="D25" s="124">
        <f t="shared" ref="D25:E25" si="2">D21+D24</f>
        <v>34337</v>
      </c>
      <c r="E25" s="124">
        <f t="shared" si="2"/>
        <v>34337</v>
      </c>
      <c r="F25" s="103"/>
      <c r="G25" s="103"/>
      <c r="H25" s="103"/>
      <c r="I25" s="103"/>
      <c r="J25" s="103"/>
      <c r="K25" s="103"/>
      <c r="L25" s="103"/>
    </row>
    <row r="26" spans="2:12" x14ac:dyDescent="0.25">
      <c r="C26" s="103"/>
      <c r="D26" s="103"/>
      <c r="E26" s="103"/>
      <c r="F26" s="103"/>
      <c r="G26" s="103"/>
      <c r="H26" s="103"/>
      <c r="I26" s="103"/>
      <c r="J26" s="103"/>
      <c r="K26" s="103"/>
      <c r="L26" s="103"/>
    </row>
    <row r="27" spans="2:12" x14ac:dyDescent="0.25">
      <c r="C27" s="103"/>
      <c r="D27" s="103"/>
      <c r="E27" s="103"/>
      <c r="F27" s="103"/>
      <c r="G27" s="103"/>
      <c r="H27" s="103"/>
      <c r="I27" s="103"/>
      <c r="J27" s="103"/>
      <c r="K27" s="103"/>
      <c r="L27" s="103"/>
    </row>
    <row r="28" spans="2:12" x14ac:dyDescent="0.25">
      <c r="C28" s="103"/>
      <c r="D28" s="103"/>
      <c r="E28" s="103"/>
      <c r="F28" s="103"/>
      <c r="G28" s="103"/>
      <c r="H28" s="103"/>
      <c r="I28" s="103"/>
      <c r="J28" s="103"/>
      <c r="K28" s="103"/>
      <c r="L28" s="103"/>
    </row>
  </sheetData>
  <pageMargins left="0.7" right="0.7" top="0.75" bottom="0.75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DBDE98-08FE-47B1-9F34-65671B3EB882}">
          <x14:formula1>
            <xm:f>donnees_sources_HAD!$B3:$B1000</xm:f>
          </x14:formula1>
          <xm:sqref>C3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CCB7F-0F5D-4FD9-977F-7DF496ECA676}">
  <sheetPr codeName="Feuil6"/>
  <dimension ref="A1:AZ3"/>
  <sheetViews>
    <sheetView topLeftCell="B1" workbookViewId="0">
      <selection activeCell="B1" sqref="B1"/>
    </sheetView>
  </sheetViews>
  <sheetFormatPr baseColWidth="10" defaultColWidth="11.5546875" defaultRowHeight="14.4" x14ac:dyDescent="0.3"/>
  <cols>
    <col min="1" max="1" width="11.5546875" style="74"/>
    <col min="2" max="2" width="18" style="74" customWidth="1"/>
    <col min="3" max="3" width="66.5546875" style="74" bestFit="1" customWidth="1"/>
    <col min="4" max="4" width="11.5546875" style="74"/>
    <col min="5" max="5" width="16.109375" style="140" bestFit="1" customWidth="1"/>
    <col min="6" max="6" width="11.77734375" style="140" bestFit="1" customWidth="1"/>
    <col min="7" max="7" width="12.5546875" style="140" bestFit="1" customWidth="1"/>
    <col min="8" max="8" width="12.6640625" style="140" bestFit="1" customWidth="1"/>
    <col min="9" max="9" width="11.77734375" style="140" bestFit="1" customWidth="1"/>
    <col min="10" max="10" width="13.5546875" style="140" bestFit="1" customWidth="1"/>
    <col min="11" max="11" width="11.77734375" style="140" bestFit="1" customWidth="1"/>
    <col min="12" max="12" width="12.5546875" style="140" bestFit="1" customWidth="1"/>
    <col min="13" max="13" width="14.5546875" style="140" bestFit="1" customWidth="1"/>
    <col min="14" max="15" width="11.77734375" style="140" bestFit="1" customWidth="1"/>
    <col min="16" max="16" width="13.5546875" style="140" bestFit="1" customWidth="1"/>
    <col min="17" max="17" width="12.5546875" style="140" bestFit="1" customWidth="1"/>
    <col min="18" max="19" width="11.77734375" style="140" bestFit="1" customWidth="1"/>
    <col min="20" max="20" width="16.109375" style="140" bestFit="1" customWidth="1"/>
    <col min="21" max="21" width="13.5546875" style="140" bestFit="1" customWidth="1"/>
    <col min="22" max="23" width="11.77734375" style="140" bestFit="1" customWidth="1"/>
    <col min="24" max="25" width="14.109375" style="140" bestFit="1" customWidth="1"/>
    <col min="26" max="26" width="14.5546875" style="140" bestFit="1" customWidth="1"/>
    <col min="27" max="30" width="11.77734375" style="140" bestFit="1" customWidth="1"/>
    <col min="31" max="31" width="12.5546875" style="140" bestFit="1" customWidth="1"/>
    <col min="32" max="33" width="11.77734375" style="140" bestFit="1" customWidth="1"/>
    <col min="34" max="34" width="13.5546875" style="140" bestFit="1" customWidth="1"/>
    <col min="35" max="36" width="11.77734375" style="140" bestFit="1" customWidth="1"/>
    <col min="37" max="37" width="12.5546875" style="140" bestFit="1" customWidth="1"/>
    <col min="38" max="40" width="11.77734375" style="140" bestFit="1" customWidth="1"/>
    <col min="41" max="41" width="14.5546875" style="140" bestFit="1" customWidth="1"/>
    <col min="42" max="42" width="12.6640625" style="140" bestFit="1" customWidth="1"/>
    <col min="43" max="43" width="14.109375" style="140" bestFit="1" customWidth="1"/>
    <col min="44" max="44" width="12.5546875" style="140" bestFit="1" customWidth="1"/>
    <col min="45" max="52" width="11.77734375" style="140" bestFit="1" customWidth="1"/>
    <col min="53" max="16384" width="11.5546875" style="74"/>
  </cols>
  <sheetData>
    <row r="1" spans="1:52" ht="15.6" x14ac:dyDescent="0.3">
      <c r="A1" s="71"/>
      <c r="B1" s="72"/>
      <c r="C1" s="72"/>
      <c r="D1" s="72"/>
      <c r="E1" s="129" t="s">
        <v>86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48" t="s">
        <v>88</v>
      </c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33" t="s">
        <v>87</v>
      </c>
      <c r="AQ1" s="133"/>
      <c r="AR1" s="134"/>
      <c r="AS1" s="134"/>
      <c r="AT1" s="134"/>
      <c r="AU1" s="134"/>
      <c r="AV1" s="134"/>
      <c r="AW1" s="134"/>
      <c r="AX1" s="134"/>
      <c r="AY1" s="134"/>
      <c r="AZ1" s="134"/>
    </row>
    <row r="2" spans="1:52" ht="42" thickBot="1" x14ac:dyDescent="0.35">
      <c r="A2" s="73" t="s">
        <v>30</v>
      </c>
      <c r="B2" s="73" t="s">
        <v>31</v>
      </c>
      <c r="C2" s="73" t="s">
        <v>32</v>
      </c>
      <c r="D2" s="73" t="s">
        <v>33</v>
      </c>
      <c r="E2" s="137" t="s">
        <v>0</v>
      </c>
      <c r="F2" s="137" t="s">
        <v>1</v>
      </c>
      <c r="G2" s="137" t="s">
        <v>2</v>
      </c>
      <c r="H2" s="137" t="s">
        <v>3</v>
      </c>
      <c r="I2" s="137" t="s">
        <v>4</v>
      </c>
      <c r="J2" s="137" t="s">
        <v>5</v>
      </c>
      <c r="K2" s="137" t="s">
        <v>6</v>
      </c>
      <c r="L2" s="137" t="s">
        <v>7</v>
      </c>
      <c r="M2" s="137" t="s">
        <v>12</v>
      </c>
      <c r="N2" s="137" t="s">
        <v>59</v>
      </c>
      <c r="O2" s="137" t="s">
        <v>58</v>
      </c>
      <c r="P2" s="137" t="s">
        <v>13</v>
      </c>
      <c r="Q2" s="137" t="s">
        <v>14</v>
      </c>
      <c r="R2" s="137" t="s">
        <v>15</v>
      </c>
      <c r="S2" s="137" t="s">
        <v>16</v>
      </c>
      <c r="T2" s="137" t="s">
        <v>34</v>
      </c>
      <c r="U2" s="137" t="s">
        <v>76</v>
      </c>
      <c r="V2" s="137" t="s">
        <v>77</v>
      </c>
      <c r="W2" s="137" t="s">
        <v>79</v>
      </c>
      <c r="X2" s="137" t="s">
        <v>78</v>
      </c>
      <c r="Y2" s="137" t="s">
        <v>80</v>
      </c>
      <c r="Z2" s="150" t="s">
        <v>0</v>
      </c>
      <c r="AA2" s="150" t="s">
        <v>1</v>
      </c>
      <c r="AB2" s="150" t="s">
        <v>2</v>
      </c>
      <c r="AC2" s="150" t="s">
        <v>3</v>
      </c>
      <c r="AD2" s="150" t="s">
        <v>4</v>
      </c>
      <c r="AE2" s="150" t="s">
        <v>5</v>
      </c>
      <c r="AF2" s="150" t="s">
        <v>6</v>
      </c>
      <c r="AG2" s="150" t="s">
        <v>7</v>
      </c>
      <c r="AH2" s="150" t="s">
        <v>12</v>
      </c>
      <c r="AI2" s="150" t="s">
        <v>59</v>
      </c>
      <c r="AJ2" s="150" t="s">
        <v>58</v>
      </c>
      <c r="AK2" s="150" t="s">
        <v>13</v>
      </c>
      <c r="AL2" s="150" t="s">
        <v>14</v>
      </c>
      <c r="AM2" s="150" t="s">
        <v>15</v>
      </c>
      <c r="AN2" s="150" t="s">
        <v>16</v>
      </c>
      <c r="AO2" s="150" t="s">
        <v>34</v>
      </c>
      <c r="AP2" s="139" t="s">
        <v>56</v>
      </c>
      <c r="AQ2" s="139" t="s">
        <v>55</v>
      </c>
      <c r="AR2" s="139" t="s">
        <v>57</v>
      </c>
      <c r="AS2" s="139" t="s">
        <v>85</v>
      </c>
      <c r="AT2" s="139" t="s">
        <v>58</v>
      </c>
      <c r="AU2" s="139" t="s">
        <v>64</v>
      </c>
      <c r="AV2" s="139" t="s">
        <v>63</v>
      </c>
      <c r="AW2" s="139" t="s">
        <v>65</v>
      </c>
      <c r="AX2" s="139" t="s">
        <v>67</v>
      </c>
      <c r="AY2" s="139" t="s">
        <v>66</v>
      </c>
      <c r="AZ2" s="139" t="s">
        <v>68</v>
      </c>
    </row>
    <row r="3" spans="1:52" x14ac:dyDescent="0.3">
      <c r="A3" s="74" t="s">
        <v>179</v>
      </c>
      <c r="B3" s="74" t="s">
        <v>180</v>
      </c>
      <c r="C3" s="74" t="s">
        <v>181</v>
      </c>
      <c r="D3" s="74" t="s">
        <v>92</v>
      </c>
      <c r="E3" s="140">
        <v>53996690</v>
      </c>
      <c r="F3" s="140">
        <v>10244</v>
      </c>
      <c r="G3" s="140">
        <v>71464</v>
      </c>
      <c r="H3" s="140">
        <v>209684</v>
      </c>
      <c r="I3" s="140">
        <v>0</v>
      </c>
      <c r="J3" s="140">
        <v>475208</v>
      </c>
      <c r="K3" s="140">
        <v>0</v>
      </c>
      <c r="L3" s="140">
        <v>98640</v>
      </c>
      <c r="M3" s="140">
        <v>1582344</v>
      </c>
      <c r="N3" s="140">
        <v>0</v>
      </c>
      <c r="O3" s="140">
        <v>0</v>
      </c>
      <c r="P3" s="140">
        <v>67670</v>
      </c>
      <c r="Q3" s="140">
        <v>0</v>
      </c>
      <c r="R3" s="140">
        <v>6358</v>
      </c>
      <c r="S3" s="140">
        <v>568</v>
      </c>
      <c r="T3" s="140">
        <v>56518870</v>
      </c>
      <c r="U3" s="140">
        <v>0</v>
      </c>
      <c r="V3" s="140">
        <v>0</v>
      </c>
      <c r="W3" s="140">
        <v>0</v>
      </c>
      <c r="X3" s="140">
        <v>3516504</v>
      </c>
      <c r="Y3" s="140">
        <v>3516504</v>
      </c>
      <c r="Z3" s="140">
        <v>9279725</v>
      </c>
      <c r="AA3" s="140">
        <v>1593</v>
      </c>
      <c r="AB3" s="140">
        <v>12061</v>
      </c>
      <c r="AC3" s="140">
        <v>36339</v>
      </c>
      <c r="AD3" s="140">
        <v>0</v>
      </c>
      <c r="AE3" s="140">
        <v>81395</v>
      </c>
      <c r="AF3" s="140">
        <v>0</v>
      </c>
      <c r="AG3" s="140">
        <v>16988</v>
      </c>
      <c r="AH3" s="140">
        <v>266817</v>
      </c>
      <c r="AI3" s="140">
        <v>0</v>
      </c>
      <c r="AJ3" s="140">
        <v>-1114.5</v>
      </c>
      <c r="AK3" s="140">
        <v>11425</v>
      </c>
      <c r="AL3" s="140">
        <v>0</v>
      </c>
      <c r="AM3" s="140">
        <v>1168</v>
      </c>
      <c r="AN3" s="140">
        <v>95</v>
      </c>
      <c r="AO3" s="140">
        <v>9706491.5</v>
      </c>
      <c r="AP3" s="140">
        <v>266462</v>
      </c>
      <c r="AQ3" s="140">
        <v>1199351</v>
      </c>
      <c r="AR3" s="140">
        <v>92089</v>
      </c>
      <c r="AS3" s="140">
        <v>0</v>
      </c>
      <c r="AT3" s="140">
        <v>545</v>
      </c>
      <c r="AU3" s="140">
        <v>190</v>
      </c>
      <c r="AV3" s="140">
        <v>443</v>
      </c>
      <c r="AW3" s="140">
        <v>0</v>
      </c>
      <c r="AX3" s="140">
        <v>0</v>
      </c>
      <c r="AY3" s="140">
        <v>0</v>
      </c>
      <c r="AZ3" s="140">
        <v>0</v>
      </c>
    </row>
  </sheetData>
  <autoFilter ref="A2:AZ3" xr:uid="{95241698-503B-4582-9867-EE608CBBAFAF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1C61-EF8A-4C66-8EBA-7B53A977E2D0}">
  <sheetPr codeName="Feuil8"/>
  <dimension ref="A1:N135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baseColWidth="10" defaultRowHeight="14.4" x14ac:dyDescent="0.3"/>
  <cols>
    <col min="3" max="3" width="27.33203125" customWidth="1"/>
    <col min="4" max="4" width="11.88671875" bestFit="1" customWidth="1"/>
    <col min="5" max="5" width="14.109375" style="140" bestFit="1" customWidth="1"/>
    <col min="6" max="6" width="15.5546875" style="140" customWidth="1"/>
    <col min="7" max="7" width="15.6640625" style="140" customWidth="1"/>
    <col min="8" max="8" width="14.109375" style="140" bestFit="1" customWidth="1"/>
    <col min="9" max="9" width="15.6640625" style="140" customWidth="1"/>
    <col min="10" max="10" width="15.88671875" style="140" customWidth="1"/>
    <col min="11" max="11" width="12.5546875" style="140" bestFit="1" customWidth="1"/>
    <col min="12" max="12" width="15.6640625" style="140" customWidth="1"/>
    <col min="13" max="13" width="14.5546875" style="140" customWidth="1"/>
    <col min="14" max="14" width="19.88671875" style="140" customWidth="1"/>
  </cols>
  <sheetData>
    <row r="1" spans="1:14" ht="15.6" x14ac:dyDescent="0.3">
      <c r="A1" s="71"/>
      <c r="B1" s="72"/>
      <c r="C1" s="72"/>
      <c r="D1" s="72"/>
      <c r="E1" s="129" t="s">
        <v>86</v>
      </c>
      <c r="F1" s="130"/>
      <c r="G1" s="130"/>
      <c r="H1" s="148" t="s">
        <v>88</v>
      </c>
      <c r="I1" s="149"/>
      <c r="J1" s="149"/>
      <c r="K1" s="133" t="s">
        <v>87</v>
      </c>
      <c r="L1" s="133"/>
      <c r="M1" s="134"/>
      <c r="N1" s="134"/>
    </row>
    <row r="2" spans="1:14" ht="15" thickBot="1" x14ac:dyDescent="0.35">
      <c r="A2" s="73" t="s">
        <v>30</v>
      </c>
      <c r="B2" s="73" t="s">
        <v>31</v>
      </c>
      <c r="C2" s="73" t="s">
        <v>32</v>
      </c>
      <c r="D2" s="73" t="s">
        <v>33</v>
      </c>
      <c r="E2" s="137" t="s">
        <v>36</v>
      </c>
      <c r="F2" s="137" t="s">
        <v>37</v>
      </c>
      <c r="G2" s="137" t="s">
        <v>34</v>
      </c>
      <c r="H2" s="150" t="s">
        <v>36</v>
      </c>
      <c r="I2" s="150" t="s">
        <v>37</v>
      </c>
      <c r="J2" s="150" t="s">
        <v>34</v>
      </c>
      <c r="K2" s="139" t="s">
        <v>72</v>
      </c>
      <c r="L2" s="139" t="s">
        <v>83</v>
      </c>
      <c r="M2" s="139" t="s">
        <v>74</v>
      </c>
      <c r="N2" s="139" t="s">
        <v>75</v>
      </c>
    </row>
    <row r="3" spans="1:14" s="36" customFormat="1" x14ac:dyDescent="0.3">
      <c r="A3" s="74" t="s">
        <v>179</v>
      </c>
      <c r="B3" s="74" t="s">
        <v>182</v>
      </c>
      <c r="C3" s="74" t="s">
        <v>181</v>
      </c>
      <c r="D3" s="74" t="s">
        <v>42</v>
      </c>
      <c r="E3" s="140">
        <v>8183076</v>
      </c>
      <c r="F3" s="140">
        <v>13620</v>
      </c>
      <c r="G3" s="140">
        <v>8196696</v>
      </c>
      <c r="H3" s="140">
        <v>1387923</v>
      </c>
      <c r="I3" s="140">
        <v>2310</v>
      </c>
      <c r="J3" s="140">
        <v>1390233</v>
      </c>
      <c r="K3" s="140">
        <v>34040</v>
      </c>
      <c r="L3" s="140">
        <v>297</v>
      </c>
      <c r="M3" s="140">
        <v>0</v>
      </c>
      <c r="N3" s="140">
        <v>0</v>
      </c>
    </row>
    <row r="135" spans="2:2" x14ac:dyDescent="0.3">
      <c r="B135" s="59"/>
    </row>
  </sheetData>
  <autoFilter ref="A2:N423" xr:uid="{381062B5-DD41-4788-A57A-5241B5230AE7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120E-FFE3-4453-9496-80EAC69DA346}">
  <sheetPr codeName="Feuil9"/>
  <dimension ref="A1:DQ3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baseColWidth="10" defaultColWidth="11.5546875" defaultRowHeight="14.4" x14ac:dyDescent="0.3"/>
  <cols>
    <col min="1" max="1" width="9.77734375" style="74" bestFit="1" customWidth="1"/>
    <col min="2" max="2" width="10.21875" style="74" bestFit="1" customWidth="1"/>
    <col min="3" max="3" width="15.33203125" style="74" bestFit="1" customWidth="1"/>
    <col min="4" max="5" width="11.5546875" style="74"/>
    <col min="6" max="6" width="12.6640625" style="74" customWidth="1"/>
    <col min="7" max="7" width="12.6640625" style="108" bestFit="1" customWidth="1"/>
    <col min="8" max="8" width="15.109375" style="140" bestFit="1" customWidth="1"/>
    <col min="9" max="10" width="12.109375" style="140" bestFit="1" customWidth="1"/>
    <col min="11" max="11" width="12.5546875" style="140" bestFit="1" customWidth="1"/>
    <col min="12" max="12" width="12.109375" style="140" bestFit="1" customWidth="1"/>
    <col min="13" max="13" width="12.6640625" style="140" bestFit="1" customWidth="1"/>
    <col min="14" max="16" width="12.109375" style="140" bestFit="1" customWidth="1"/>
    <col min="17" max="17" width="13.5546875" style="140" bestFit="1" customWidth="1"/>
    <col min="18" max="19" width="12.109375" style="140" bestFit="1" customWidth="1"/>
    <col min="20" max="20" width="12.5546875" style="140" bestFit="1" customWidth="1"/>
    <col min="21" max="23" width="12.109375" style="140" bestFit="1" customWidth="1"/>
    <col min="24" max="24" width="15.109375" style="140" bestFit="1" customWidth="1"/>
    <col min="25" max="25" width="12.5546875" style="140" bestFit="1" customWidth="1"/>
    <col min="26" max="27" width="12.109375" style="140" bestFit="1" customWidth="1"/>
    <col min="28" max="29" width="15.21875" style="140" bestFit="1" customWidth="1"/>
    <col min="30" max="30" width="16.109375" style="140" bestFit="1" customWidth="1"/>
    <col min="31" max="31" width="12.5546875" style="140" bestFit="1" customWidth="1"/>
    <col min="32" max="32" width="12.6640625" style="140" bestFit="1" customWidth="1"/>
    <col min="33" max="33" width="13" style="140" bestFit="1" customWidth="1"/>
    <col min="34" max="34" width="12.109375" style="140" bestFit="1" customWidth="1"/>
    <col min="35" max="35" width="13.5546875" style="140" bestFit="1" customWidth="1"/>
    <col min="36" max="36" width="12.109375" style="140" bestFit="1" customWidth="1"/>
    <col min="37" max="37" width="12.5546875" style="140" bestFit="1" customWidth="1"/>
    <col min="38" max="38" width="12.109375" style="140" bestFit="1" customWidth="1"/>
    <col min="39" max="39" width="14.5546875" style="140" bestFit="1" customWidth="1"/>
    <col min="40" max="40" width="12.5546875" style="140" bestFit="1" customWidth="1"/>
    <col min="41" max="41" width="12.109375" style="140" bestFit="1" customWidth="1"/>
    <col min="42" max="42" width="13.5546875" style="140" bestFit="1" customWidth="1"/>
    <col min="43" max="44" width="12.5546875" style="140" bestFit="1" customWidth="1"/>
    <col min="45" max="45" width="12.109375" style="140" bestFit="1" customWidth="1"/>
    <col min="46" max="46" width="16.109375" style="140" bestFit="1" customWidth="1"/>
    <col min="47" max="47" width="13.5546875" style="140" bestFit="1" customWidth="1"/>
    <col min="48" max="49" width="12.109375" style="140" bestFit="1" customWidth="1"/>
    <col min="50" max="51" width="15.21875" style="140" bestFit="1" customWidth="1"/>
    <col min="52" max="52" width="17.109375" style="140" bestFit="1" customWidth="1"/>
    <col min="53" max="54" width="13.44140625" style="140" bestFit="1" customWidth="1"/>
    <col min="55" max="55" width="15" style="140" bestFit="1" customWidth="1"/>
    <col min="56" max="56" width="12.109375" style="140" bestFit="1" customWidth="1"/>
    <col min="57" max="57" width="15" style="140" bestFit="1" customWidth="1"/>
    <col min="58" max="58" width="12.109375" style="140" bestFit="1" customWidth="1"/>
    <col min="59" max="59" width="13.44140625" style="140" bestFit="1" customWidth="1"/>
    <col min="60" max="60" width="12.44140625" style="140" bestFit="1" customWidth="1"/>
    <col min="61" max="61" width="15" style="140" bestFit="1" customWidth="1"/>
    <col min="62" max="62" width="13.44140625" style="140" bestFit="1" customWidth="1"/>
    <col min="63" max="63" width="12.44140625" style="140" bestFit="1" customWidth="1"/>
    <col min="64" max="64" width="15" style="140" bestFit="1" customWidth="1"/>
    <col min="65" max="65" width="13.44140625" style="140" bestFit="1" customWidth="1"/>
    <col min="66" max="66" width="12.5546875" style="140" bestFit="1" customWidth="1"/>
    <col min="67" max="67" width="12.44140625" style="140" bestFit="1" customWidth="1"/>
    <col min="68" max="68" width="17.109375" style="140" bestFit="1" customWidth="1"/>
    <col min="69" max="69" width="16" style="140" bestFit="1" customWidth="1"/>
    <col min="70" max="70" width="13.5546875" style="140" bestFit="1" customWidth="1"/>
    <col min="71" max="78" width="11.77734375" style="140" bestFit="1" customWidth="1"/>
    <col min="79" max="79" width="12.5546875" style="140" bestFit="1" customWidth="1"/>
    <col min="80" max="83" width="11.77734375" style="140" bestFit="1" customWidth="1"/>
    <col min="84" max="84" width="25.77734375" style="140" bestFit="1" customWidth="1"/>
    <col min="85" max="86" width="12.44140625" style="140" bestFit="1" customWidth="1"/>
    <col min="87" max="87" width="13.44140625" style="140" bestFit="1" customWidth="1"/>
    <col min="88" max="88" width="12.109375" style="140" bestFit="1" customWidth="1"/>
    <col min="89" max="89" width="13.44140625" style="140" bestFit="1" customWidth="1"/>
    <col min="90" max="90" width="12.109375" style="140" bestFit="1" customWidth="1"/>
    <col min="91" max="91" width="12.44140625" style="140" bestFit="1" customWidth="1"/>
    <col min="92" max="92" width="13.5546875" style="140" bestFit="1" customWidth="1"/>
    <col min="93" max="93" width="13.44140625" style="140" bestFit="1" customWidth="1"/>
    <col min="94" max="94" width="12.44140625" style="140" bestFit="1" customWidth="1"/>
    <col min="95" max="95" width="12.5546875" style="140" bestFit="1" customWidth="1"/>
    <col min="96" max="96" width="13.44140625" style="140" bestFit="1" customWidth="1"/>
    <col min="97" max="97" width="12.44140625" style="140" bestFit="1" customWidth="1"/>
    <col min="98" max="98" width="12.109375" style="140" bestFit="1" customWidth="1"/>
    <col min="99" max="99" width="14.5546875" style="140" bestFit="1" customWidth="1"/>
    <col min="100" max="100" width="16" style="140" bestFit="1" customWidth="1"/>
    <col min="101" max="101" width="15.109375" style="140" bestFit="1" customWidth="1"/>
    <col min="102" max="102" width="14.109375" style="140" bestFit="1" customWidth="1"/>
    <col min="103" max="103" width="13" style="140" bestFit="1" customWidth="1"/>
    <col min="104" max="105" width="12.109375" style="140" bestFit="1" customWidth="1"/>
    <col min="106" max="106" width="12.5546875" style="140" bestFit="1" customWidth="1"/>
    <col min="107" max="109" width="12.109375" style="140" bestFit="1" customWidth="1"/>
    <col min="110" max="110" width="13.21875" style="140" bestFit="1" customWidth="1"/>
    <col min="111" max="111" width="12.6640625" style="140" bestFit="1" customWidth="1"/>
    <col min="112" max="113" width="15" style="140" bestFit="1" customWidth="1"/>
    <col min="114" max="114" width="13.44140625" style="140" bestFit="1" customWidth="1"/>
    <col min="115" max="115" width="12.109375" style="140" bestFit="1" customWidth="1"/>
    <col min="116" max="116" width="12.44140625" style="140" bestFit="1" customWidth="1"/>
    <col min="117" max="117" width="12.109375" style="140" bestFit="1" customWidth="1"/>
    <col min="118" max="118" width="14.77734375" style="140" bestFit="1" customWidth="1"/>
    <col min="119" max="121" width="12.109375" style="140" bestFit="1" customWidth="1"/>
    <col min="122" max="16384" width="11.5546875" style="74"/>
  </cols>
  <sheetData>
    <row r="1" spans="1:121" ht="15.6" x14ac:dyDescent="0.3">
      <c r="A1" s="71"/>
      <c r="B1" s="72"/>
      <c r="C1" s="72"/>
      <c r="D1" s="72"/>
      <c r="E1" s="72"/>
      <c r="F1" s="72"/>
      <c r="G1" s="109"/>
      <c r="H1" s="125" t="s">
        <v>38</v>
      </c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7" t="s">
        <v>39</v>
      </c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5" t="s">
        <v>28</v>
      </c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7" t="s">
        <v>40</v>
      </c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9" t="s">
        <v>41</v>
      </c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1" t="s">
        <v>93</v>
      </c>
      <c r="CW1" s="131"/>
      <c r="CX1" s="132"/>
      <c r="CY1" s="132"/>
      <c r="CZ1" s="132"/>
      <c r="DA1" s="132"/>
      <c r="DB1" s="132"/>
      <c r="DC1" s="132"/>
      <c r="DD1" s="132"/>
      <c r="DE1" s="132"/>
      <c r="DF1" s="132"/>
      <c r="DG1" s="133" t="s">
        <v>82</v>
      </c>
      <c r="DH1" s="133"/>
      <c r="DI1" s="134"/>
      <c r="DJ1" s="134"/>
      <c r="DK1" s="134"/>
      <c r="DL1" s="134"/>
      <c r="DM1" s="134"/>
      <c r="DN1" s="134"/>
      <c r="DO1" s="134"/>
      <c r="DP1" s="134"/>
      <c r="DQ1" s="134"/>
    </row>
    <row r="2" spans="1:121" ht="41.4" customHeight="1" thickBot="1" x14ac:dyDescent="0.35">
      <c r="A2" s="73" t="s">
        <v>30</v>
      </c>
      <c r="B2" s="73" t="s">
        <v>31</v>
      </c>
      <c r="C2" s="73" t="s">
        <v>32</v>
      </c>
      <c r="D2" s="73" t="s">
        <v>33</v>
      </c>
      <c r="E2" s="73" t="s">
        <v>53</v>
      </c>
      <c r="F2" s="73" t="s">
        <v>62</v>
      </c>
      <c r="G2" s="110" t="s">
        <v>84</v>
      </c>
      <c r="H2" s="135" t="s">
        <v>0</v>
      </c>
      <c r="I2" s="135" t="s">
        <v>1</v>
      </c>
      <c r="J2" s="135" t="s">
        <v>2</v>
      </c>
      <c r="K2" s="135" t="s">
        <v>3</v>
      </c>
      <c r="L2" s="135" t="s">
        <v>4</v>
      </c>
      <c r="M2" s="135" t="s">
        <v>5</v>
      </c>
      <c r="N2" s="135" t="s">
        <v>6</v>
      </c>
      <c r="O2" s="135" t="s">
        <v>7</v>
      </c>
      <c r="P2" s="135" t="s">
        <v>8</v>
      </c>
      <c r="Q2" s="135" t="s">
        <v>12</v>
      </c>
      <c r="R2" s="135" t="s">
        <v>59</v>
      </c>
      <c r="S2" s="135" t="s">
        <v>58</v>
      </c>
      <c r="T2" s="135" t="s">
        <v>13</v>
      </c>
      <c r="U2" s="135" t="s">
        <v>14</v>
      </c>
      <c r="V2" s="135" t="s">
        <v>15</v>
      </c>
      <c r="W2" s="135" t="s">
        <v>16</v>
      </c>
      <c r="X2" s="135" t="s">
        <v>34</v>
      </c>
      <c r="Y2" s="135" t="s">
        <v>76</v>
      </c>
      <c r="Z2" s="135" t="s">
        <v>77</v>
      </c>
      <c r="AA2" s="135" t="s">
        <v>79</v>
      </c>
      <c r="AB2" s="135" t="s">
        <v>78</v>
      </c>
      <c r="AC2" s="135" t="s">
        <v>80</v>
      </c>
      <c r="AD2" s="136" t="s">
        <v>0</v>
      </c>
      <c r="AE2" s="136" t="s">
        <v>1</v>
      </c>
      <c r="AF2" s="136" t="s">
        <v>2</v>
      </c>
      <c r="AG2" s="136" t="s">
        <v>3</v>
      </c>
      <c r="AH2" s="136" t="s">
        <v>4</v>
      </c>
      <c r="AI2" s="136" t="s">
        <v>5</v>
      </c>
      <c r="AJ2" s="136" t="s">
        <v>6</v>
      </c>
      <c r="AK2" s="136" t="s">
        <v>7</v>
      </c>
      <c r="AL2" s="136" t="s">
        <v>8</v>
      </c>
      <c r="AM2" s="136" t="s">
        <v>12</v>
      </c>
      <c r="AN2" s="136" t="s">
        <v>59</v>
      </c>
      <c r="AO2" s="136" t="s">
        <v>58</v>
      </c>
      <c r="AP2" s="136" t="s">
        <v>13</v>
      </c>
      <c r="AQ2" s="136" t="s">
        <v>14</v>
      </c>
      <c r="AR2" s="136" t="s">
        <v>15</v>
      </c>
      <c r="AS2" s="136" t="s">
        <v>16</v>
      </c>
      <c r="AT2" s="136" t="s">
        <v>34</v>
      </c>
      <c r="AU2" s="136" t="s">
        <v>76</v>
      </c>
      <c r="AV2" s="136" t="s">
        <v>77</v>
      </c>
      <c r="AW2" s="136" t="s">
        <v>79</v>
      </c>
      <c r="AX2" s="136" t="s">
        <v>78</v>
      </c>
      <c r="AY2" s="136" t="s">
        <v>80</v>
      </c>
      <c r="AZ2" s="135" t="s">
        <v>0</v>
      </c>
      <c r="BA2" s="135" t="s">
        <v>1</v>
      </c>
      <c r="BB2" s="135" t="s">
        <v>2</v>
      </c>
      <c r="BC2" s="135" t="s">
        <v>3</v>
      </c>
      <c r="BD2" s="135" t="s">
        <v>4</v>
      </c>
      <c r="BE2" s="135" t="s">
        <v>5</v>
      </c>
      <c r="BF2" s="135" t="s">
        <v>6</v>
      </c>
      <c r="BG2" s="135" t="s">
        <v>7</v>
      </c>
      <c r="BH2" s="135" t="s">
        <v>8</v>
      </c>
      <c r="BI2" s="135" t="s">
        <v>12</v>
      </c>
      <c r="BJ2" s="135" t="s">
        <v>59</v>
      </c>
      <c r="BK2" s="135" t="s">
        <v>58</v>
      </c>
      <c r="BL2" s="135" t="s">
        <v>13</v>
      </c>
      <c r="BM2" s="135" t="s">
        <v>14</v>
      </c>
      <c r="BN2" s="135" t="s">
        <v>15</v>
      </c>
      <c r="BO2" s="135" t="s">
        <v>16</v>
      </c>
      <c r="BP2" s="135" t="s">
        <v>34</v>
      </c>
      <c r="BQ2" s="135" t="s">
        <v>35</v>
      </c>
      <c r="BR2" s="136" t="s">
        <v>0</v>
      </c>
      <c r="BS2" s="136" t="s">
        <v>1</v>
      </c>
      <c r="BT2" s="136" t="s">
        <v>2</v>
      </c>
      <c r="BU2" s="136" t="s">
        <v>3</v>
      </c>
      <c r="BV2" s="136" t="s">
        <v>4</v>
      </c>
      <c r="BW2" s="136" t="s">
        <v>5</v>
      </c>
      <c r="BX2" s="136" t="s">
        <v>6</v>
      </c>
      <c r="BY2" s="136" t="s">
        <v>7</v>
      </c>
      <c r="BZ2" s="136" t="s">
        <v>8</v>
      </c>
      <c r="CA2" s="136" t="s">
        <v>12</v>
      </c>
      <c r="CB2" s="136" t="s">
        <v>76</v>
      </c>
      <c r="CC2" s="136" t="s">
        <v>77</v>
      </c>
      <c r="CD2" s="136" t="s">
        <v>79</v>
      </c>
      <c r="CE2" s="136" t="s">
        <v>78</v>
      </c>
      <c r="CF2" s="137" t="s">
        <v>0</v>
      </c>
      <c r="CG2" s="137" t="s">
        <v>1</v>
      </c>
      <c r="CH2" s="137" t="s">
        <v>2</v>
      </c>
      <c r="CI2" s="137" t="s">
        <v>3</v>
      </c>
      <c r="CJ2" s="137" t="s">
        <v>4</v>
      </c>
      <c r="CK2" s="137" t="s">
        <v>5</v>
      </c>
      <c r="CL2" s="137" t="s">
        <v>6</v>
      </c>
      <c r="CM2" s="137" t="s">
        <v>7</v>
      </c>
      <c r="CN2" s="137" t="s">
        <v>12</v>
      </c>
      <c r="CO2" s="137" t="s">
        <v>59</v>
      </c>
      <c r="CP2" s="137" t="s">
        <v>58</v>
      </c>
      <c r="CQ2" s="137" t="s">
        <v>13</v>
      </c>
      <c r="CR2" s="137" t="s">
        <v>14</v>
      </c>
      <c r="CS2" s="137" t="s">
        <v>15</v>
      </c>
      <c r="CT2" s="137" t="s">
        <v>16</v>
      </c>
      <c r="CU2" s="137" t="s">
        <v>34</v>
      </c>
      <c r="CV2" s="138" t="s">
        <v>56</v>
      </c>
      <c r="CW2" s="138" t="s">
        <v>55</v>
      </c>
      <c r="CX2" s="138" t="s">
        <v>57</v>
      </c>
      <c r="CY2" s="138" t="s">
        <v>85</v>
      </c>
      <c r="CZ2" s="138" t="s">
        <v>58</v>
      </c>
      <c r="DA2" s="138" t="s">
        <v>64</v>
      </c>
      <c r="DB2" s="138" t="s">
        <v>63</v>
      </c>
      <c r="DC2" s="138" t="s">
        <v>65</v>
      </c>
      <c r="DD2" s="138" t="s">
        <v>67</v>
      </c>
      <c r="DE2" s="138" t="s">
        <v>66</v>
      </c>
      <c r="DF2" s="138" t="s">
        <v>68</v>
      </c>
      <c r="DG2" s="139" t="s">
        <v>56</v>
      </c>
      <c r="DH2" s="139" t="s">
        <v>55</v>
      </c>
      <c r="DI2" s="139" t="s">
        <v>57</v>
      </c>
      <c r="DJ2" s="139" t="s">
        <v>85</v>
      </c>
      <c r="DK2" s="139" t="s">
        <v>58</v>
      </c>
      <c r="DL2" s="139" t="s">
        <v>64</v>
      </c>
      <c r="DM2" s="139" t="s">
        <v>63</v>
      </c>
      <c r="DN2" s="139" t="s">
        <v>65</v>
      </c>
      <c r="DO2" s="139" t="s">
        <v>67</v>
      </c>
      <c r="DP2" s="139" t="s">
        <v>66</v>
      </c>
      <c r="DQ2" s="139" t="s">
        <v>68</v>
      </c>
    </row>
    <row r="3" spans="1:121" x14ac:dyDescent="0.3">
      <c r="A3" s="74" t="s">
        <v>179</v>
      </c>
      <c r="B3" s="74" t="s">
        <v>180</v>
      </c>
      <c r="C3" s="74" t="s">
        <v>181</v>
      </c>
      <c r="D3" s="74" t="s">
        <v>92</v>
      </c>
      <c r="E3" s="74" t="s">
        <v>53</v>
      </c>
      <c r="F3" s="74" t="s">
        <v>43</v>
      </c>
      <c r="G3" s="108">
        <v>12</v>
      </c>
      <c r="H3" s="140">
        <v>16980123.449715547</v>
      </c>
      <c r="I3" s="140">
        <v>0</v>
      </c>
      <c r="J3" s="140">
        <v>24949.861999999994</v>
      </c>
      <c r="K3" s="140">
        <v>74670.52</v>
      </c>
      <c r="L3" s="140">
        <v>0</v>
      </c>
      <c r="M3" s="140">
        <v>149534.27632000286</v>
      </c>
      <c r="N3" s="140">
        <v>0</v>
      </c>
      <c r="O3" s="140">
        <v>32892.275999999998</v>
      </c>
      <c r="P3" s="140">
        <v>6470.6759999999986</v>
      </c>
      <c r="Q3" s="140">
        <v>548912.20305699215</v>
      </c>
      <c r="R3" s="140">
        <v>0</v>
      </c>
      <c r="S3" s="140">
        <v>4361.5</v>
      </c>
      <c r="T3" s="140">
        <v>18863.688000000002</v>
      </c>
      <c r="U3" s="140">
        <v>0</v>
      </c>
      <c r="V3" s="140">
        <v>3669.5800000000008</v>
      </c>
      <c r="W3" s="140">
        <v>201.63516299999998</v>
      </c>
      <c r="X3" s="140">
        <v>17844649.666255541</v>
      </c>
      <c r="Y3" s="140">
        <v>0</v>
      </c>
      <c r="Z3" s="140">
        <v>0</v>
      </c>
      <c r="AA3" s="140">
        <v>0</v>
      </c>
      <c r="AB3" s="140">
        <v>1251555.6009599937</v>
      </c>
      <c r="AC3" s="140">
        <v>1251555.6009599937</v>
      </c>
      <c r="AD3" s="140">
        <v>79678053.979119971</v>
      </c>
      <c r="AE3" s="140">
        <v>7361.48</v>
      </c>
      <c r="AF3" s="140">
        <v>130326.71200000048</v>
      </c>
      <c r="AG3" s="140">
        <v>389557.41000000003</v>
      </c>
      <c r="AH3" s="140">
        <v>0</v>
      </c>
      <c r="AI3" s="140">
        <v>495340.72920012724</v>
      </c>
      <c r="AJ3" s="140">
        <v>0</v>
      </c>
      <c r="AK3" s="140">
        <v>91354.573999998058</v>
      </c>
      <c r="AL3" s="140">
        <v>0</v>
      </c>
      <c r="AM3" s="140">
        <v>1902208.9317690826</v>
      </c>
      <c r="AN3" s="140">
        <v>0</v>
      </c>
      <c r="AO3" s="140">
        <v>0</v>
      </c>
      <c r="AP3" s="140">
        <v>60014.687999999995</v>
      </c>
      <c r="AQ3" s="140">
        <v>0</v>
      </c>
      <c r="AR3" s="140">
        <v>7265.5399999999991</v>
      </c>
      <c r="AS3" s="140">
        <v>697.91967199999999</v>
      </c>
      <c r="AT3" s="140">
        <v>82762181.963761181</v>
      </c>
      <c r="AU3" s="140">
        <v>0</v>
      </c>
      <c r="AV3" s="140">
        <v>0</v>
      </c>
      <c r="AW3" s="140">
        <v>0</v>
      </c>
      <c r="AX3" s="140">
        <v>4767455.191859982</v>
      </c>
      <c r="AY3" s="140">
        <v>4767455.191859982</v>
      </c>
      <c r="AZ3" s="140">
        <v>84361396.239999995</v>
      </c>
      <c r="BA3" s="140">
        <v>19356.830000000002</v>
      </c>
      <c r="BB3" s="140">
        <v>116099.18</v>
      </c>
      <c r="BC3" s="140">
        <v>321638.21000000002</v>
      </c>
      <c r="BD3" s="140">
        <v>0</v>
      </c>
      <c r="BE3" s="140">
        <v>748142.31</v>
      </c>
      <c r="BF3" s="140">
        <v>0</v>
      </c>
      <c r="BG3" s="140">
        <v>153438.98000000001</v>
      </c>
      <c r="BH3" s="140">
        <v>27556.19</v>
      </c>
      <c r="BI3" s="140">
        <v>2575379.64</v>
      </c>
      <c r="BJ3" s="140">
        <v>0</v>
      </c>
      <c r="BK3" s="140">
        <v>22294.01</v>
      </c>
      <c r="BL3" s="140">
        <v>109851.4</v>
      </c>
      <c r="BM3" s="140">
        <v>0</v>
      </c>
      <c r="BN3" s="140">
        <v>8426.65</v>
      </c>
      <c r="BO3" s="140">
        <v>935.78</v>
      </c>
      <c r="BP3" s="140">
        <v>88464515.420000002</v>
      </c>
      <c r="BQ3" s="140">
        <v>5691687.2300000004</v>
      </c>
      <c r="BR3" s="140">
        <v>664060.42773817526</v>
      </c>
      <c r="BS3" s="140">
        <v>126.83947160859105</v>
      </c>
      <c r="BT3" s="140">
        <v>941.42447718463575</v>
      </c>
      <c r="BU3" s="140">
        <v>2596.8916349976612</v>
      </c>
      <c r="BV3" s="140">
        <v>0</v>
      </c>
      <c r="BW3" s="140">
        <v>5991.4955746895275</v>
      </c>
      <c r="BX3" s="140">
        <v>0</v>
      </c>
      <c r="BY3" s="140">
        <v>1243.6582537225352</v>
      </c>
      <c r="BZ3" s="140">
        <v>227.11054311366155</v>
      </c>
      <c r="CA3" s="140">
        <v>20196.193057134325</v>
      </c>
      <c r="CB3" s="140">
        <v>0</v>
      </c>
      <c r="CC3" s="140">
        <v>0</v>
      </c>
      <c r="CD3" s="140">
        <v>0</v>
      </c>
      <c r="CE3" s="140">
        <v>44882.834159124344</v>
      </c>
      <c r="CF3" s="140">
        <v>8438895</v>
      </c>
      <c r="CG3" s="140">
        <v>1936</v>
      </c>
      <c r="CH3" s="140">
        <v>11610</v>
      </c>
      <c r="CI3" s="140">
        <v>32164</v>
      </c>
      <c r="CJ3" s="140">
        <v>0</v>
      </c>
      <c r="CK3" s="140">
        <v>74814</v>
      </c>
      <c r="CL3" s="140">
        <v>0</v>
      </c>
      <c r="CM3" s="140">
        <v>15344</v>
      </c>
      <c r="CN3" s="140">
        <v>257538</v>
      </c>
      <c r="CO3" s="140">
        <v>0</v>
      </c>
      <c r="CP3" s="140">
        <v>2229</v>
      </c>
      <c r="CQ3" s="140">
        <v>10985</v>
      </c>
      <c r="CR3" s="140">
        <v>0</v>
      </c>
      <c r="CS3" s="140">
        <v>843</v>
      </c>
      <c r="CT3" s="140">
        <v>94</v>
      </c>
      <c r="CU3" s="140">
        <v>8846452</v>
      </c>
      <c r="CV3" s="140">
        <v>3197550.9930000259</v>
      </c>
      <c r="CW3" s="140">
        <v>14392208.611500021</v>
      </c>
      <c r="CX3" s="140">
        <v>1105066.3249999995</v>
      </c>
      <c r="CY3" s="140">
        <v>0</v>
      </c>
      <c r="CZ3" s="140">
        <v>4361.5</v>
      </c>
      <c r="DA3" s="140">
        <v>2278.0954999999999</v>
      </c>
      <c r="DB3" s="140">
        <v>5317.74</v>
      </c>
      <c r="DC3" s="140">
        <v>0</v>
      </c>
      <c r="DD3" s="140">
        <v>0</v>
      </c>
      <c r="DE3" s="140">
        <v>0</v>
      </c>
      <c r="DF3" s="140">
        <v>0</v>
      </c>
      <c r="DG3" s="140">
        <v>266463</v>
      </c>
      <c r="DH3" s="140">
        <v>1199351</v>
      </c>
      <c r="DI3" s="140">
        <v>92089</v>
      </c>
      <c r="DJ3" s="140">
        <v>0</v>
      </c>
      <c r="DK3" s="140">
        <v>0</v>
      </c>
      <c r="DL3" s="140">
        <v>190</v>
      </c>
      <c r="DM3" s="140">
        <v>443</v>
      </c>
      <c r="DN3" s="140">
        <v>0</v>
      </c>
      <c r="DO3" s="140">
        <v>0</v>
      </c>
      <c r="DP3" s="140">
        <v>0</v>
      </c>
      <c r="DQ3" s="140">
        <v>0</v>
      </c>
    </row>
  </sheetData>
  <autoFilter ref="A2:DQ34" xr:uid="{DEC8F143-E76C-4BDF-90FB-5A41779A62A4}"/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Descriptif </vt:lpstr>
      <vt:lpstr>Taux</vt:lpstr>
      <vt:lpstr>Tableau de notification MCO</vt:lpstr>
      <vt:lpstr>Tableau de notification HAD</vt:lpstr>
      <vt:lpstr>Calcul GF 2021 MCO</vt:lpstr>
      <vt:lpstr>Calcul GF 2021 HAD</vt:lpstr>
      <vt:lpstr>donnees_notification_MCO</vt:lpstr>
      <vt:lpstr>donnees_notification_HAD</vt:lpstr>
      <vt:lpstr>donnees_sources_MCO</vt:lpstr>
      <vt:lpstr>donnees_sources_HAD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LECAVELIER DES ETANGS LEVALLOIS</dc:creator>
  <cp:lastModifiedBy>Anne-Laure FELIX</cp:lastModifiedBy>
  <dcterms:created xsi:type="dcterms:W3CDTF">2020-04-09T14:10:28Z</dcterms:created>
  <dcterms:modified xsi:type="dcterms:W3CDTF">2021-05-19T09:26:00Z</dcterms:modified>
</cp:coreProperties>
</file>