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codeName="ThisWorkbook" defaultThemeVersion="166925"/>
  <mc:AlternateContent xmlns:mc="http://schemas.openxmlformats.org/markup-compatibility/2006">
    <mc:Choice Requires="x15">
      <x15ac:absPath xmlns:x15ac="http://schemas.microsoft.com/office/spreadsheetml/2010/11/ac" url="P:\ENC\13 - ENC TOUS CHAMPS CONFONDUS\31-AO utilisation données\15_ Relecture interne ATIH par les CdG\"/>
    </mc:Choice>
  </mc:AlternateContent>
  <xr:revisionPtr revIDLastSave="0" documentId="13_ncr:1_{A0A36637-70CF-4874-9D66-365738426524}" xr6:coauthVersionLast="36" xr6:coauthVersionMax="36" xr10:uidLastSave="{00000000-0000-0000-0000-000000000000}"/>
  <bookViews>
    <workbookView xWindow="0" yWindow="0" windowWidth="23040" windowHeight="9060" xr2:uid="{00000000-000D-0000-FFFF-FFFF00000000}"/>
  </bookViews>
  <sheets>
    <sheet name="Fiche de contenu détaillée" sheetId="1" r:id="rId1"/>
    <sheet name="Activités et recettes supp." sheetId="10" r:id="rId2"/>
    <sheet name="Coûts supplémentaires" sheetId="12" r:id="rId3"/>
    <sheet name="Source" sheetId="15" r:id="rId4"/>
    <sheet name="Synthèse des écarts" sheetId="16" r:id="rId5"/>
  </sheets>
  <definedNames>
    <definedName name="_xlnm._FilterDatabase" localSheetId="3" hidden="1">Source!$A$8:$AR$8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10" l="1"/>
  <c r="H39" i="10"/>
  <c r="H38" i="10"/>
  <c r="H37" i="10"/>
  <c r="H36" i="10"/>
  <c r="H35" i="10"/>
  <c r="H34" i="10"/>
  <c r="H33" i="10"/>
  <c r="H32" i="10"/>
  <c r="H31" i="10"/>
  <c r="H30" i="10"/>
  <c r="H29" i="10"/>
  <c r="H28" i="10"/>
  <c r="H27" i="10"/>
  <c r="H26" i="10"/>
  <c r="H25" i="10"/>
  <c r="H24" i="10"/>
  <c r="H23" i="10"/>
  <c r="H22" i="10"/>
  <c r="H21" i="10"/>
  <c r="H20" i="10"/>
  <c r="H19" i="10"/>
  <c r="H18" i="10"/>
  <c r="H17" i="10"/>
  <c r="H42" i="10" l="1"/>
  <c r="H41" i="10"/>
  <c r="P62" i="12" l="1"/>
  <c r="N62" i="12"/>
  <c r="K61" i="12"/>
  <c r="K60" i="12"/>
  <c r="K59" i="12"/>
  <c r="K58" i="12"/>
  <c r="K57" i="12"/>
  <c r="K56" i="12"/>
  <c r="K55" i="12"/>
  <c r="K54" i="12"/>
  <c r="K53" i="12"/>
  <c r="K52" i="12"/>
  <c r="K51" i="12"/>
  <c r="K50" i="12"/>
  <c r="K49" i="12"/>
  <c r="K48" i="12"/>
  <c r="K47" i="12"/>
  <c r="E61" i="12"/>
  <c r="E60" i="12"/>
  <c r="E59" i="12"/>
  <c r="E58" i="12"/>
  <c r="E57" i="12"/>
  <c r="E56" i="12"/>
  <c r="E55" i="12"/>
  <c r="E54" i="12"/>
  <c r="E53" i="12"/>
  <c r="E52" i="12"/>
  <c r="E51" i="12"/>
  <c r="E50" i="12"/>
  <c r="E49" i="12"/>
  <c r="E48" i="12"/>
  <c r="E47" i="12"/>
  <c r="I61" i="12" l="1"/>
  <c r="H61" i="12"/>
  <c r="G61" i="12"/>
  <c r="F61" i="12"/>
  <c r="I60" i="12"/>
  <c r="H60" i="12"/>
  <c r="G60" i="12"/>
  <c r="F60" i="12"/>
  <c r="I59" i="12"/>
  <c r="H59" i="12"/>
  <c r="G59" i="12"/>
  <c r="F59" i="12"/>
  <c r="I58" i="12"/>
  <c r="H58" i="12"/>
  <c r="G58" i="12"/>
  <c r="F58" i="12"/>
  <c r="I57" i="12"/>
  <c r="H57" i="12"/>
  <c r="G57" i="12"/>
  <c r="F57" i="12"/>
  <c r="I56" i="12"/>
  <c r="H56" i="12"/>
  <c r="G56" i="12"/>
  <c r="F56" i="12"/>
  <c r="I55" i="12"/>
  <c r="H55" i="12"/>
  <c r="G55" i="12"/>
  <c r="F55" i="12"/>
  <c r="I54" i="12"/>
  <c r="H54" i="12"/>
  <c r="G54" i="12"/>
  <c r="F54" i="12"/>
  <c r="I53" i="12"/>
  <c r="H53" i="12"/>
  <c r="G53" i="12"/>
  <c r="F53" i="12"/>
  <c r="I52" i="12"/>
  <c r="H52" i="12"/>
  <c r="G52" i="12"/>
  <c r="F52" i="12"/>
  <c r="I51" i="12"/>
  <c r="H51" i="12"/>
  <c r="G51" i="12"/>
  <c r="F51" i="12"/>
  <c r="I50" i="12"/>
  <c r="H50" i="12"/>
  <c r="G50" i="12"/>
  <c r="F50" i="12"/>
  <c r="I49" i="12"/>
  <c r="H49" i="12"/>
  <c r="G49" i="12"/>
  <c r="F49" i="12"/>
  <c r="I48" i="12"/>
  <c r="H48" i="12"/>
  <c r="G48" i="12"/>
  <c r="F48" i="12"/>
  <c r="I47" i="12"/>
  <c r="H47" i="12"/>
  <c r="G47" i="12"/>
  <c r="F47" i="12"/>
  <c r="J50" i="12" l="1"/>
  <c r="L50" i="12" s="1"/>
  <c r="M50" i="12" s="1"/>
  <c r="J52" i="12"/>
  <c r="L52" i="12" s="1"/>
  <c r="M52" i="12" s="1"/>
  <c r="J54" i="12"/>
  <c r="L54" i="12" s="1"/>
  <c r="M54" i="12" s="1"/>
  <c r="J60" i="12"/>
  <c r="L60" i="12" s="1"/>
  <c r="M60" i="12" s="1"/>
  <c r="J48" i="12"/>
  <c r="L48" i="12" s="1"/>
  <c r="M48" i="12" s="1"/>
  <c r="J58" i="12"/>
  <c r="L58" i="12" s="1"/>
  <c r="M58" i="12" s="1"/>
  <c r="J47" i="12"/>
  <c r="L47" i="12" s="1"/>
  <c r="M47" i="12" s="1"/>
  <c r="J49" i="12"/>
  <c r="L49" i="12" s="1"/>
  <c r="M49" i="12" s="1"/>
  <c r="J55" i="12"/>
  <c r="L55" i="12" s="1"/>
  <c r="M55" i="12" s="1"/>
  <c r="J59" i="12"/>
  <c r="L59" i="12" s="1"/>
  <c r="M59" i="12" s="1"/>
  <c r="J61" i="12"/>
  <c r="L61" i="12" s="1"/>
  <c r="M61" i="12" s="1"/>
  <c r="J51" i="12"/>
  <c r="L51" i="12" s="1"/>
  <c r="M51" i="12" s="1"/>
  <c r="J53" i="12"/>
  <c r="L53" i="12" s="1"/>
  <c r="M53" i="12" s="1"/>
  <c r="J57" i="12"/>
  <c r="L57" i="12" s="1"/>
  <c r="M57" i="12" s="1"/>
  <c r="J56" i="12"/>
  <c r="L56" i="12" s="1"/>
  <c r="M56" i="12" s="1"/>
  <c r="Q52" i="12" l="1"/>
  <c r="O52" i="12"/>
  <c r="O55" i="12"/>
  <c r="Q55" i="12"/>
  <c r="O50" i="12"/>
  <c r="Q50" i="12"/>
  <c r="Q49" i="12"/>
  <c r="O49" i="12"/>
  <c r="O56" i="12"/>
  <c r="Q56" i="12"/>
  <c r="O47" i="12"/>
  <c r="Q47" i="12"/>
  <c r="Q57" i="12"/>
  <c r="O57" i="12"/>
  <c r="O53" i="12"/>
  <c r="Q53" i="12"/>
  <c r="Q60" i="12"/>
  <c r="O60" i="12"/>
  <c r="O59" i="12"/>
  <c r="Q59" i="12"/>
  <c r="O58" i="12"/>
  <c r="Q58" i="12"/>
  <c r="O48" i="12"/>
  <c r="Q48" i="12"/>
  <c r="O51" i="12"/>
  <c r="Q51" i="12"/>
  <c r="O61" i="12"/>
  <c r="Q61" i="12"/>
  <c r="O54" i="12"/>
  <c r="Q54" i="12"/>
  <c r="H13" i="12"/>
  <c r="H19" i="12" s="1"/>
  <c r="L9" i="12" s="1"/>
  <c r="G13" i="12"/>
  <c r="G19" i="12" s="1"/>
  <c r="F13" i="12"/>
  <c r="F19" i="12" s="1"/>
  <c r="E13" i="12"/>
  <c r="E19" i="12" s="1"/>
  <c r="D13" i="12"/>
  <c r="D19" i="12" s="1"/>
  <c r="C13" i="12"/>
  <c r="C19" i="12" s="1"/>
  <c r="I12" i="12"/>
  <c r="I11" i="12"/>
  <c r="I10" i="12"/>
  <c r="Q62" i="12" l="1"/>
  <c r="E8" i="16" s="1"/>
  <c r="O62" i="12"/>
  <c r="D8" i="16" s="1"/>
  <c r="L10" i="12"/>
  <c r="L11" i="12" s="1"/>
  <c r="I19" i="12"/>
  <c r="I13" i="12"/>
  <c r="I40" i="10"/>
  <c r="J40" i="10" s="1"/>
  <c r="K40" i="10" s="1"/>
  <c r="I39" i="10"/>
  <c r="J39" i="10" s="1"/>
  <c r="K39" i="10" s="1"/>
  <c r="I38" i="10"/>
  <c r="J38" i="10" s="1"/>
  <c r="K38" i="10" s="1"/>
  <c r="I37" i="10"/>
  <c r="J37" i="10" s="1"/>
  <c r="K37" i="10" s="1"/>
  <c r="I36" i="10"/>
  <c r="J36" i="10" s="1"/>
  <c r="K36" i="10" s="1"/>
  <c r="I35" i="10"/>
  <c r="J35" i="10" s="1"/>
  <c r="K35" i="10" s="1"/>
  <c r="I34" i="10"/>
  <c r="I33" i="10"/>
  <c r="J33" i="10" s="1"/>
  <c r="K33" i="10" s="1"/>
  <c r="I32" i="10"/>
  <c r="J32" i="10" s="1"/>
  <c r="K32" i="10" s="1"/>
  <c r="I31" i="10"/>
  <c r="J31" i="10" s="1"/>
  <c r="K31" i="10" s="1"/>
  <c r="I30" i="10"/>
  <c r="J30" i="10" s="1"/>
  <c r="K30" i="10" s="1"/>
  <c r="I29" i="10"/>
  <c r="J29" i="10" s="1"/>
  <c r="K29" i="10" s="1"/>
  <c r="I28" i="10"/>
  <c r="J28" i="10" s="1"/>
  <c r="K28" i="10" s="1"/>
  <c r="I27" i="10"/>
  <c r="J27" i="10" s="1"/>
  <c r="K27" i="10" s="1"/>
  <c r="I26" i="10"/>
  <c r="J26" i="10" s="1"/>
  <c r="K26" i="10" s="1"/>
  <c r="I25" i="10"/>
  <c r="J25" i="10" s="1"/>
  <c r="K25" i="10" s="1"/>
  <c r="I24" i="10"/>
  <c r="J24" i="10" s="1"/>
  <c r="K24" i="10" s="1"/>
  <c r="I23" i="10"/>
  <c r="J23" i="10" s="1"/>
  <c r="K23" i="10" s="1"/>
  <c r="I22" i="10"/>
  <c r="J22" i="10" s="1"/>
  <c r="I21" i="10"/>
  <c r="J21" i="10" s="1"/>
  <c r="K21" i="10" s="1"/>
  <c r="I20" i="10"/>
  <c r="J20" i="10" s="1"/>
  <c r="K20" i="10" s="1"/>
  <c r="I19" i="10"/>
  <c r="J19" i="10" s="1"/>
  <c r="K19" i="10" s="1"/>
  <c r="I18" i="10"/>
  <c r="J18" i="10" s="1"/>
  <c r="K18" i="10" s="1"/>
  <c r="I17" i="10"/>
  <c r="J17" i="10" s="1"/>
  <c r="K17" i="10" s="1"/>
  <c r="J34" i="10"/>
  <c r="K34" i="10" s="1"/>
  <c r="G42" i="10"/>
  <c r="G41" i="10"/>
  <c r="L12" i="12" s="1"/>
  <c r="L14" i="12" s="1"/>
  <c r="D7" i="16" l="1"/>
  <c r="E7" i="16"/>
  <c r="D9" i="16"/>
  <c r="E9" i="16"/>
  <c r="L15" i="12"/>
  <c r="L13" i="12"/>
  <c r="I42" i="10"/>
  <c r="I41" i="10"/>
  <c r="J42" i="10"/>
  <c r="K22" i="10"/>
  <c r="K42" i="10" s="1"/>
  <c r="E6" i="16" s="1"/>
  <c r="K41" i="10"/>
  <c r="D6" i="16" s="1"/>
  <c r="D10" i="16" s="1"/>
  <c r="D11" i="16" s="1"/>
  <c r="J41" i="10"/>
  <c r="E10" i="16" l="1"/>
  <c r="E11" i="16" s="1"/>
</calcChain>
</file>

<file path=xl/sharedStrings.xml><?xml version="1.0" encoding="utf-8"?>
<sst xmlns="http://schemas.openxmlformats.org/spreadsheetml/2006/main" count="348" uniqueCount="239">
  <si>
    <t>Index, mots-clés et repères</t>
  </si>
  <si>
    <t>MCO</t>
  </si>
  <si>
    <t>SSR</t>
  </si>
  <si>
    <t>Psychiatrie</t>
  </si>
  <si>
    <t>HAD</t>
  </si>
  <si>
    <t>p</t>
  </si>
  <si>
    <t>0,5 j</t>
  </si>
  <si>
    <t>1 j</t>
  </si>
  <si>
    <t>&gt; 1 j</t>
  </si>
  <si>
    <t xml:space="preserve">1h </t>
  </si>
  <si>
    <t>Débutant</t>
  </si>
  <si>
    <t>Confirmé</t>
  </si>
  <si>
    <t xml:space="preserve">Mots-clés : </t>
  </si>
  <si>
    <t>Ce contenu est utilisable en :</t>
  </si>
  <si>
    <t>Temps estimé de mise en pratique :</t>
  </si>
  <si>
    <t>Convient au niveau :</t>
  </si>
  <si>
    <t>Directeur général</t>
  </si>
  <si>
    <t>Destinataires des données :</t>
  </si>
  <si>
    <t>Autres directeurs</t>
  </si>
  <si>
    <t>Pôles / Services</t>
  </si>
  <si>
    <t>GHT / groupe</t>
  </si>
  <si>
    <t>þ</t>
  </si>
  <si>
    <t>Avant-propos</t>
  </si>
  <si>
    <t>La situation et le besoin de pilotage</t>
  </si>
  <si>
    <t>Rappel des objectifs</t>
  </si>
  <si>
    <t>La démarche et les choix méthodologiques retenus</t>
  </si>
  <si>
    <t>Abréviations</t>
  </si>
  <si>
    <t xml:space="preserve">CréA :		Compte de Résultat Analytique
CME : Commission Médicale d'Établissement
DIM : 		Département de l’Information Médicale
EHPAD :	Etablissement Hospitalier pour Personnes Agées Dépendantes
ENC : 		Etude Nationale des Coûts
ETP : 		Equivalent Temps Plein
GHS : 		Groupe Homogène de Séjour
MCO :		Médecine Chirurgie Obstétrique
RTC :		Retraitement Comptable
T2A :		Tarification A l’Activité
USLD : 		Unité de Soins de Longue Durée
</t>
  </si>
  <si>
    <t>Prothèses totales de hanche</t>
  </si>
  <si>
    <t>Cholécysectomies</t>
  </si>
  <si>
    <t>Thoracoscopies</t>
  </si>
  <si>
    <t>Strippings</t>
  </si>
  <si>
    <t>Mastectomie</t>
  </si>
  <si>
    <t>Thyroïdes</t>
  </si>
  <si>
    <t>Septoplasties</t>
  </si>
  <si>
    <t xml:space="preserve">Selon les chirurgiens, les extensions de bloc en fin d’après-midi et durant les périodes de congés permettraient de réaliser les interventions ci-dessous.
</t>
  </si>
  <si>
    <t>Au total, ce sont 650 interventions supplémentaires qui pourraient être traitées, soit un surplus moyen de 13 par semaine.
En fonction de la lourdeur des interventions, deux scénarios sont identifiés : un premier prudent dans lequel les prises en charge supplémentaires sont classiques et sans complication particulière ; un deuxième, plus optimiste (c’est-à-dire générateur de plus de recettes) et sans doute plus réaliste, dans lequel quelques interventions sont classées dans des GHS avec sévérité. Dans les deux cas, le nombre total d’interventions et de séjours supplémentaires est le même.</t>
  </si>
  <si>
    <t>Type</t>
  </si>
  <si>
    <t>Scénario</t>
  </si>
  <si>
    <t>Nombre de séjour</t>
  </si>
  <si>
    <t>Recettes Titres 1</t>
  </si>
  <si>
    <t>Unitaires</t>
  </si>
  <si>
    <t>Totales</t>
  </si>
  <si>
    <t>Recettes Titres 2</t>
  </si>
  <si>
    <t>+8%</t>
  </si>
  <si>
    <t>Cumul</t>
  </si>
  <si>
    <t>Prudent</t>
  </si>
  <si>
    <t>Optimiste</t>
  </si>
  <si>
    <t>Total</t>
  </si>
  <si>
    <t>08C471 Prothèses de hanche pour traumatismes récents, niveau 1</t>
  </si>
  <si>
    <t>08C473 Prothèses de hanche pour traumatismes récents, niveau 3</t>
  </si>
  <si>
    <t>07C131 Cholécystectomies sans exploration de la voie biliaire principale pour affections aigües, niveau 1</t>
  </si>
  <si>
    <t>07C122 Autres interventions sur les voies biliaires sauf cholécystectomies isolées, niveau 2</t>
  </si>
  <si>
    <t>07C123 Autres interventions sur les voies biliaires sauf cholécystectomies isolées, niveau 3</t>
  </si>
  <si>
    <t>04C021 Interventions majeures sur le thorax, niveau 1</t>
  </si>
  <si>
    <t>04C041 Interventions sous thoracoscopie, niveau 1</t>
  </si>
  <si>
    <t>04C022 Interventions majeures sur le thorax, niveau 2</t>
  </si>
  <si>
    <t>05C17J Ligatures de veines et éveinages, en ambulatoire</t>
  </si>
  <si>
    <t>05C172 Ligatures de veines et éveinages, niveau 2</t>
  </si>
  <si>
    <t>09C051 Mastectomies subtotales pour tumeur maligne, niveau 1</t>
  </si>
  <si>
    <t>09C052 Mastectomies subtotales pour tumeur maligne, niveau 2</t>
  </si>
  <si>
    <t>10C111 Interventions sur la thyroïde pour tumeurs malignes, niveau 1</t>
  </si>
  <si>
    <t>10C121 Interventions sur la thyroïde pour affections non malignes, niveau 1</t>
  </si>
  <si>
    <t>03C092 Rhinoplasties, niveau 2</t>
  </si>
  <si>
    <t>Nombre d'ETP</t>
  </si>
  <si>
    <t>Anesthésiologie</t>
  </si>
  <si>
    <t>Bloc Opératoire</t>
  </si>
  <si>
    <t>Stérilisation</t>
  </si>
  <si>
    <t>IADE</t>
  </si>
  <si>
    <t>IBODE</t>
  </si>
  <si>
    <t>IDE</t>
  </si>
  <si>
    <t>AS</t>
  </si>
  <si>
    <t>ASH</t>
  </si>
  <si>
    <t>Anesthésiste</t>
  </si>
  <si>
    <t>Equivalent charges de personnel (titre 1) en Euros</t>
  </si>
  <si>
    <t>Coût moyen par ETP</t>
  </si>
  <si>
    <t>Coûts ETP demandés</t>
  </si>
  <si>
    <t>Coûts supplémentaires</t>
  </si>
  <si>
    <t>Calcul des prévisions d'activité et recettes supplémentaires</t>
  </si>
  <si>
    <t>Coût par opération supplémentaire</t>
  </si>
  <si>
    <t>Nombre d'opérations supplémentaires</t>
  </si>
  <si>
    <t>Coût majoré total</t>
  </si>
  <si>
    <t>Coût Personnel Médical</t>
  </si>
  <si>
    <t>Coût Personnel Soignant</t>
  </si>
  <si>
    <t>Coût PM par intervention</t>
  </si>
  <si>
    <t>Coût PS par intervention</t>
  </si>
  <si>
    <t>Coût total des ETP Supplémentaires</t>
  </si>
  <si>
    <t>Estimation des coûts supplémentaires en ETP</t>
  </si>
  <si>
    <t>Estimation des autres dépenses variables</t>
  </si>
  <si>
    <t>Pour chaque GHS</t>
  </si>
  <si>
    <t>Charges directes / directement imputables au séjour</t>
  </si>
  <si>
    <t>Charges indirectes / réparties</t>
  </si>
  <si>
    <t>Des services de soins</t>
  </si>
  <si>
    <t>Des plateaux techniques</t>
  </si>
  <si>
    <t>Médicaments non T2A</t>
  </si>
  <si>
    <t>û</t>
  </si>
  <si>
    <t>Médicaments T2A</t>
  </si>
  <si>
    <t>Produits sanguins</t>
  </si>
  <si>
    <t>Consommables médicaux</t>
  </si>
  <si>
    <t>Dispositifs médicaux implantables T2A</t>
  </si>
  <si>
    <t>Dispositifs médicaux implantables consommables</t>
  </si>
  <si>
    <t>Blanchisserie</t>
  </si>
  <si>
    <t>Restauration</t>
  </si>
  <si>
    <t>L’estimation des autres dépenses, notamment de titre 2 (dépenses à caractère médical) et de titre 3 (dépenses à caractère hôtelier) se base sur le référentiel ENC 2018.
L’ENC 2018 présente, pour chaque GHS, le coût complet et le détail par poste de dépense de ces prises en charge. Concernant la présente étude, les postes de dépenses retenus sont les suivants :</t>
  </si>
  <si>
    <t>Coût unitaire par séjour (partiel, sur les seuls postes de charge de l'étude)</t>
  </si>
  <si>
    <t>Médicaments</t>
  </si>
  <si>
    <t>DMI et leurs consommables</t>
  </si>
  <si>
    <t>Blanchisserie/Restauration</t>
  </si>
  <si>
    <t>Produits supplémentaires (DMI et produits pharmaceutiques liste en sus)</t>
  </si>
  <si>
    <t>Coût restant à financer</t>
  </si>
  <si>
    <t>Scénario prudent (Nombre d'interventions)</t>
  </si>
  <si>
    <t>Scénario prudent (Coût)</t>
  </si>
  <si>
    <t>Scénario optimiste (Nombre d'interventions)</t>
  </si>
  <si>
    <t>Scénario optimiste (Coût)</t>
  </si>
  <si>
    <t>Coût total équivalent</t>
  </si>
  <si>
    <t>Consom-mables</t>
  </si>
  <si>
    <t>GHM (version 2020)</t>
  </si>
  <si>
    <t>GHM</t>
  </si>
  <si>
    <t>Informations sur le GHS</t>
  </si>
  <si>
    <t>Logistique et Gestion Générale</t>
  </si>
  <si>
    <t>Logistique Médicale</t>
  </si>
  <si>
    <t>Charges Directes</t>
  </si>
  <si>
    <t>Structure</t>
  </si>
  <si>
    <t>GHM V2020</t>
  </si>
  <si>
    <t>Libellé GHM</t>
  </si>
  <si>
    <t>LGG
Blanchisserie</t>
  </si>
  <si>
    <t>LGG
Restauration</t>
  </si>
  <si>
    <t>LGG Accueil et
gestion des
malades</t>
  </si>
  <si>
    <t>LGG Services
administratifs à
caractère
général</t>
  </si>
  <si>
    <t>LGG Services
administratifs
liés au
personnel</t>
  </si>
  <si>
    <t>LGG
Brancardage et
transport
pédestre des
patients</t>
  </si>
  <si>
    <t>LGG DIM</t>
  </si>
  <si>
    <t>LGG DSI</t>
  </si>
  <si>
    <t>LGG Entretien
maintenance</t>
  </si>
  <si>
    <t>LGG Services
hôteliers</t>
  </si>
  <si>
    <t>LGG Transport
motorisé des
patients (hors
SMUR)</t>
  </si>
  <si>
    <t>TOTAL
Dépenses LGG</t>
  </si>
  <si>
    <t>LM Pharmacie</t>
  </si>
  <si>
    <t>LM Stérilisation</t>
  </si>
  <si>
    <t>LM Génie
Biomédical</t>
  </si>
  <si>
    <t>LM Hygiène et
Vigilance</t>
  </si>
  <si>
    <t>Autre LM</t>
  </si>
  <si>
    <t>TOTAL
Dépenses LM</t>
  </si>
  <si>
    <t>CD Autres
consommables</t>
  </si>
  <si>
    <t>CD Autres
consommables
liste traceurs</t>
  </si>
  <si>
    <t>CD DMI non
facturables en
sus</t>
  </si>
  <si>
    <t>CD DMI
facturables en
sus</t>
  </si>
  <si>
    <t>CD
Médicaments
ATU</t>
  </si>
  <si>
    <t>CD Sang</t>
  </si>
  <si>
    <t>CD Spécialités
pharmaceutiques non
facturables en
sus</t>
  </si>
  <si>
    <t>CD Spécialités
pharmaceutiques facturables en
sus</t>
  </si>
  <si>
    <t>CD
Sous-traitance
Autre</t>
  </si>
  <si>
    <t>CD
Sous-traitance
Exploration
fonctionnelle</t>
  </si>
  <si>
    <t>CD
Sous-traitance
Imagerie</t>
  </si>
  <si>
    <t>CD
Sous-traitance
Laboratoire</t>
  </si>
  <si>
    <t>CD
Sous-traitance
Laboratoire Hors
nomenclature</t>
  </si>
  <si>
    <t>CD
Sous-traitance
SMUR</t>
  </si>
  <si>
    <t>CD
Sous-traitance
transport (hors
SMUR)</t>
  </si>
  <si>
    <t>TOTAL
Charges
directes hors
honoraires</t>
  </si>
  <si>
    <t>CD Honoraires
des PH</t>
  </si>
  <si>
    <t>CD
Rémunération à
l'acte du
personnel</t>
  </si>
  <si>
    <t>TOTAL
Charges
directes y
compris
honoraires et
rémunération à
l'acte</t>
  </si>
  <si>
    <t>Structure
financier</t>
  </si>
  <si>
    <t>Structure
immobilier</t>
  </si>
  <si>
    <t>TOTAL
Structure</t>
  </si>
  <si>
    <t>03C092</t>
  </si>
  <si>
    <t>Rhinoplasties, niveau 2</t>
  </si>
  <si>
    <t>04C021</t>
  </si>
  <si>
    <t>Interventions majeures sur le thorax, niveau 1</t>
  </si>
  <si>
    <t>04C022</t>
  </si>
  <si>
    <t>Interventions majeures sur le thorax, niveau 2</t>
  </si>
  <si>
    <t>04C041</t>
  </si>
  <si>
    <t>Interventions sous thoracoscopie, niveau 1</t>
  </si>
  <si>
    <t>05C172</t>
  </si>
  <si>
    <t>Ligatures de veines et éveinages, niveau 2</t>
  </si>
  <si>
    <t>05C17J</t>
  </si>
  <si>
    <t>Ligatures de veines et éveinages, en ambulatoire</t>
  </si>
  <si>
    <t>07C122</t>
  </si>
  <si>
    <t>Autres interventions sur les voies biliaires sauf
cholécystectomies isolées, niveau 2</t>
  </si>
  <si>
    <t>07C123</t>
  </si>
  <si>
    <t>Autres interventions sur les voies biliaires sauf
cholécystectomies isolées, niveau 3</t>
  </si>
  <si>
    <t>07C131</t>
  </si>
  <si>
    <t>Cholécystectomies sans exploration de la voie biliaire
principale pour affections aigües, niveau 1</t>
  </si>
  <si>
    <t>08C471</t>
  </si>
  <si>
    <t>Prothèses de hanche pour traumatismes récents,
niveau 1</t>
  </si>
  <si>
    <t>08C473</t>
  </si>
  <si>
    <t>Prothèses de hanche pour traumatismes récents,
niveau 3</t>
  </si>
  <si>
    <t>09C051</t>
  </si>
  <si>
    <t>Mastectomies subtotales pour tumeur maligne,
niveau 1</t>
  </si>
  <si>
    <t>09C052</t>
  </si>
  <si>
    <t>Mastectomies subtotales pour tumeur maligne,
niveau 2</t>
  </si>
  <si>
    <t>10C111</t>
  </si>
  <si>
    <t>Interventions sur la thyroïde pour tumeurs malignes,
niveau 1</t>
  </si>
  <si>
    <t>10C121</t>
  </si>
  <si>
    <t>Interventions sur la thyroïde pour affections non
malignes, niveau 1</t>
  </si>
  <si>
    <t>Extraction des Tarifs GHS 2020</t>
  </si>
  <si>
    <t>Extraction du référentiel ENC 2018</t>
  </si>
  <si>
    <t xml:space="preserve">Le tableau présent ci-dessous est une extraction des tarifs GHS de la campagne 2020 pour le secteur ex-DGF.
</t>
  </si>
  <si>
    <t>LIBELLE</t>
  </si>
  <si>
    <t xml:space="preserve">Bornes basses
</t>
  </si>
  <si>
    <t xml:space="preserve">Bornes hautes
</t>
  </si>
  <si>
    <t>TARIF
(en euros)</t>
  </si>
  <si>
    <t xml:space="preserve">TARIF EXB
(en euros) 
</t>
  </si>
  <si>
    <t xml:space="preserve">TARIF EXH
(en euros) 
</t>
  </si>
  <si>
    <t>Autres interventions sur les voies biliaires sauf cholécystectomies isolées, niveau 2</t>
  </si>
  <si>
    <t>Autres interventions sur les voies biliaires sauf cholécystectomies isolées, niveau 3</t>
  </si>
  <si>
    <t>Cholécystectomies sans exploration de la voie biliaire principale pour affections aigües, niveau 1</t>
  </si>
  <si>
    <t>Prothèses de hanche pour traumatismes récents, niveau 1</t>
  </si>
  <si>
    <t>Prothèses de hanche pour traumatismes récents, niveau 3</t>
  </si>
  <si>
    <t>Mastectomies subtotales pour tumeur maligne, niveau 1</t>
  </si>
  <si>
    <t>Mastectomies subtotales pour tumeur maligne, niveau 2</t>
  </si>
  <si>
    <t>Interventions sur la thyroïde pour tumeurs malignes, niveau 1</t>
  </si>
  <si>
    <t>Interventions sur la thyroïde pour affections non malignes, niveau 1</t>
  </si>
  <si>
    <t>04C041 Interventions majeures sur le thorax, niveau 1</t>
  </si>
  <si>
    <t>Ecarts entre les recettes et les charges</t>
  </si>
  <si>
    <t xml:space="preserve">Quel que soit le scénario retenu, les recettes supplémentaires sont supérieures aux coûts supplémentaires. </t>
  </si>
  <si>
    <t>Valorisation des GHM Supplémentaires</t>
  </si>
  <si>
    <t>Ecart en Euros</t>
  </si>
  <si>
    <t>Ecart en Pourcentage</t>
  </si>
  <si>
    <t>Ecart</t>
  </si>
  <si>
    <t>Scénario Prudent</t>
  </si>
  <si>
    <t>Scénario Optimiste</t>
  </si>
  <si>
    <t>Personnel soignant et médical</t>
  </si>
  <si>
    <t>Coûts titres 2 et 3</t>
  </si>
  <si>
    <r>
      <rPr>
        <b/>
        <sz val="9"/>
        <color theme="1"/>
        <rFont val="Verdana"/>
        <family val="2"/>
      </rPr>
      <t>1) Le contexte</t>
    </r>
    <r>
      <rPr>
        <sz val="9"/>
        <color theme="1"/>
        <rFont val="Verdana"/>
        <family val="2"/>
      </rPr>
      <t xml:space="preserve">
 - Difficultés exprimées par les chirurgiens pour réaliser de l’activité supplémentaire au bloc opératoire
 - Réflexion préalable à l’extension du bloc opératoire en 2022
</t>
    </r>
    <r>
      <rPr>
        <b/>
        <sz val="9"/>
        <color theme="1"/>
        <rFont val="Verdana"/>
        <family val="2"/>
      </rPr>
      <t xml:space="preserve">2) Les objectifs de l’étude
</t>
    </r>
    <r>
      <rPr>
        <sz val="9"/>
        <color theme="1"/>
        <rFont val="Verdana"/>
        <family val="2"/>
      </rPr>
      <t xml:space="preserve"> - Evaluer les coûts et les recettes supplémentaires consécutives à l’extension des plages opératoires.
</t>
    </r>
    <r>
      <rPr>
        <b/>
        <sz val="9"/>
        <color theme="1"/>
        <rFont val="Verdana"/>
        <family val="2"/>
      </rPr>
      <t>3) L’alternative à mesurer</t>
    </r>
    <r>
      <rPr>
        <sz val="9"/>
        <color theme="1"/>
        <rFont val="Verdana"/>
        <family val="2"/>
      </rPr>
      <t xml:space="preserve">
La présente étude est de type « Coût - bénéfice ». La</t>
    </r>
    <r>
      <rPr>
        <b/>
        <sz val="9"/>
        <color theme="1"/>
        <rFont val="Verdana"/>
        <family val="2"/>
      </rPr>
      <t xml:space="preserve"> situation A</t>
    </r>
    <r>
      <rPr>
        <sz val="9"/>
        <color theme="1"/>
        <rFont val="Verdana"/>
        <family val="2"/>
      </rPr>
      <t xml:space="preserve"> correspond à l’extension des plages opératoires. Elle est comparée à la </t>
    </r>
    <r>
      <rPr>
        <b/>
        <sz val="9"/>
        <color theme="1"/>
        <rFont val="Verdana"/>
        <family val="2"/>
      </rPr>
      <t>situation B</t>
    </r>
    <r>
      <rPr>
        <sz val="9"/>
        <color theme="1"/>
        <rFont val="Verdana"/>
        <family val="2"/>
      </rPr>
      <t xml:space="preserve"> qui est la situation actuelle sans changement.
Le différentiel d’effets entre les deux situations sera mesuré essentiellement par le développement de l’activité de chirurgie, du nombre et du type d’interventions. Le différentiel de coût et de recettes entre les deux situations sera évalué au travers des moyens supplémentaires nécessités par l’extension des places opératoires et du surcroît d’activité de la situation A.
</t>
    </r>
  </si>
  <si>
    <t>Globalement, dans la présente analyse, chaque séjour entraîne de 230 € à 2 314 € de charges supplémentaires de titre 2 et 3. 
Une partie peut être financée si ces dépenses sont inscrites dans les listes de médicaments coûteux ou de dispositifs médicaux implantables. Finalement, entre 227 € et 1 895 € restent à financer. En fonction des hypothèses relatives aux effectifs et à la caractérisation des séjours, le scénario prudent correspond à un coût supplémentaire de près de 480 000 €, alors que le scénario optimiste nécessite plus de 538 500 € complémentaires. Tous les résultats sont détaillés dans le tableau ci-après.</t>
  </si>
  <si>
    <t xml:space="preserve">Dans l’hypothèse prudente, cet écart est de l’ordre de +1,6 M €, soit un taux de marge partielle de 55%. Le scénario optimiste se traduit par un écart plus marqué de plus de +1,8 M€ (soit +59%). </t>
  </si>
  <si>
    <t xml:space="preserve">Le référentiel ENC 2018 présente les coûts décomposés par GHM. Le tableau présent ci-dessous est une extraction du référentiel ENC pour les GHM étudiés dans le cas.
Le référentiel ENC est disponible en téléchargement sur le site Scansanté.
</t>
  </si>
  <si>
    <t>Calcul coût futur (2,5% pendant 2 ans)</t>
  </si>
  <si>
    <t>Le Directoire et la Commission Médicale d’Etablissement considèrent le développement de ses équipes chirurgicales comme un point extrêmement positif et portent à ses activités une attention particulière. 
Pourtant, dès le second semestre 2020, plusieurs demandes de rendez-vous ont été sollicitées par les nouveaux praticiens tant auprès de la Direction Générale que de la Cheffe de bloc. En effet, tous font état de difficultés à obtenir des plages de bloc opératoire et expriment leur mécontentement croissant à ne pas pouvoir réaliser plus d’interventions. 
De premières rencontres ont eu lieu. Parmi les motifs et arguments échangés, l’attente de l’ouverture des 4 salles livrées lors de l’extension du nouveau bloc dans dix-huit mois explique les difficultés à dégager des possibilités dans un planning opératoire historiquement organisé et occupé par les chirurgiens plus anciens. Si le constat est partagé, impatience et insatisfaction font craindre à la Direction et à la Présidence de la CME un départ à moyen terme de la majorité des nouveaux médecins. 
L’approche du Directeur Général se veut pragmatique : une solution transitoire doit être proposée. Pour autant, la situation de déficit impose un suivi très contraint des ressources. C’est pourquoi, une étude médico-économique pilotée par le responsable du contrôle de gestion – nouvellement recruté également - en binôme avec la cheffe de service du Département de l’Information Médicale a été faite. La demande, formulée oralement et de façon très synthétique par le Directeur Général fut la suivante : comment permettre aux nouveaux praticiens de réaliser plus d’interventions chirurgicales dans l’attente de la livraison du futur bloc au complet, à quelles conditions et à quels coûts ? La méthode est laissée à l’appréciation du responsable du contrôle de gestion, en lien avec le DIM.
Trois semaines de délai de réalisation ont été convenues pour une présentation et remise formelles au Directeur Général. Du point de vue des outils de pilotage, en dehors du Retraitement Comptable régulièrement remis chaque année, le CH ne dispose pas de comptabilité analytique de type Créa ou ENC.</t>
  </si>
  <si>
    <t>Utilisation du référentiel ENC pour analyser une extension de plage horaire du bloc opératoire</t>
  </si>
  <si>
    <t>La situation prend place dans un CH (établissement public de santé). Au 31 décembre 2020, ses capacités s’élevaient à environ 500 lits et places en court séjour MCO (dont 125 dédiés aux services de chirurgie), 50 lits et places de soins de suite et réadaptation et 300 lits pour les secteurs USLD et EHPAD.
En termes d’offre, il dispose d’un plateau technique complet (imagerie, laboratoire…) dont un bloc opératoire de 9 salles. Il a réalisé à ce titre environ 10 000 interventions chirurgicales en 2020. L’équipe actuelle est composée d’une quinzaine de chirurgiens, la très grande majorité travaillant à temps plein, ainsi qu’une douzaine d’anesthésistes.
Du point de vue économique et financier, le CH a enregistré 180 M€ de charges en 2020. Son résultat comptable est déficitaire pour un montant d’environ –2M€. 
Pour autant, un ambitieux plan d’investissement a été validé et est en cours de réalisation. Il comprend notamment l’extension du bloc opératoire à l’horizon 2022, avec 4 salles d’interventions supplémentaires et un coût prévu de 10 M€. 
Afin d’anticiper les hausses d’activité en chirurgie validées dans les prévisions pour les prochaines années, le CH bénéficie d’ores et déjà du recrutement de nouveaux et jeunes praticiens. Ainsi, un chirurgien thoracique et vasculaire a été recruté depuis le 1er juin 2020, un autre praticien spécialisé en chirurgie digestive est présent depuis le 15 novembre 2019, un troisième intervenant spécialisé en orthopédie-traumatologie depuis le 10 mars 2020 et enfin un dernier médecin complète ce renfort à 80% depuis le 1er juillet 2020, dans le domaine de la chirurgie gynécologique à orientation cancérologique.</t>
  </si>
  <si>
    <t>Les postulats pour la situation A d’accroissement du nombre d’interventions sont les suivants :
- Le montant de la part T2A pour les séjours est de 100%. Les tarifs sont ceux de l’année 2020. Un surplus de +8% (correspondant à la moyenne sur l’ensemble du CH) est ajouté pour identifier les recettes de titre 2 imputables à ces séjours.
- Aucun des séjours ne passe en réanimation. Il n’y a pas de suppléments, ni extrêmes.
- L’extension des plages consiste à repousser la limite du programme opératoire de 16h à 18h30 chaque jour, et à utiliser lors des vacances scolaires les créneaux dits ‘gelés’ (un créneau par jour et par salle).
- Les calculs sont donnés pour une année pleine
- L’étude ne porte que sur une partie des coûts. L’objectif n’est pas de reconstituer un coût complet de ces séjours, puisque le montant de certaines charges indirectes est estimé comme peu impacté par ce ‘léger’ surplus d’activité. Il est opté de présenter les résultats sous forme d’un montant et en pourcentage, qui représente un écart entre les recettes de ces séjours et les coûts directs associés. Ce montant pourraît être qualifié de "marge sur coût partiel".
-  Afin d’estimer l’ensemble des coûts supplémentaires, il a été décidé : 
🗸 De réaliser un focus sur les dépenses de personnel
🗸 D’estimer l’ensemble des autres coûts à partir du référentiel ENC. 
L’évaluation du volume supplémentaire d’activité a été établie par une caractérisation des séjours (quels GHS ? quels effectifs ? quelle valorisation ?) entre les chirurgiens concernés et le DIM, selon la version définitive 2020 du manuel des GHM. Afin d’affiner la situation A, les hypothèses et la présentation ont été établies selon deux scénarios : un plutôt prudent, l’autre plutôt optimiste.
Les charges directes de personnel sont identifiables pour la situation A. Cette évaluation a été réalisée par les chirurgiens concernés et les cadres du bloc opératoire. Elle a permis d’estimer les ressources humaines supplémentaires en ETP pour ce développement. Elles portent sur le seul secteur du bloc opératoire, les impacts en effectifs sur les secteurs d’hospitalisation ayant été jugés comme non significatifs.
Afin de convertir les ETP supplémentaires en charges, la valorisation des ressources humaines supplémentaires a été effectuée à partir des coûts moyens du RTC 2019 de l’établissement (tableau VALID-RTC). ETP physiques et rémunérés sont considérés comme égaux.
L’établissement ne disposant pas d’une comptabilité analytique par séjour, l’approche des autres coûts est menée à partir du référentiel de l’Etude Nationale des Coûts 2018, qui est le dernier disponible et téléchargeable sur le site ScanSanté. Il a été décidé de retenir une partie des coûts, essentiellement les charges directes car vues comme variables. Afin de tenir compte du décalage temporel, les montants ont été réévalué sur deux ans à un taux fixé à +2,5% par an, conformément aux recommandations de la Haute Autorité de Santé (HAS).</t>
  </si>
  <si>
    <t>ScanSanté : Référentiel ENC MCO 2018</t>
  </si>
  <si>
    <t xml:space="preserve">Les professionnels du bloc opératoire estiment à près de 16 ETP soignants et médical les ressources humaines à recruter. 
Ces effectifs correspondent à près de 773 000€ en année pleine.
Ces ressources humaines supplémentaires correspondent à un coût majoré de près de 1 190€ (938€ de ressources soignantes, 251€ de ressources médicales) par intervention supplémentaire.
</t>
  </si>
  <si>
    <t>Chirurgie ; ENC ; charges directes ; étude médico-économique ; cas ; pôle ; référentiel</t>
  </si>
  <si>
    <r>
      <t>Ce cas suit les étapes et les modalités identifiées dans la fiche</t>
    </r>
    <r>
      <rPr>
        <i/>
        <sz val="9"/>
        <color theme="1"/>
        <rFont val="Verdana"/>
        <family val="2"/>
      </rPr>
      <t xml:space="preserve"> EME_01 « Plan-type d’une étude médico-économique »</t>
    </r>
    <r>
      <rPr>
        <sz val="9"/>
        <color theme="1"/>
        <rFont val="Verdana"/>
        <family val="2"/>
      </rPr>
      <t xml:space="preserve">. Il s’inspire d’une situation réelle et d’une prise de décision concrète. Les informations et chiffres présentés ont été entièrement reconstitués et sont fictifs. </t>
    </r>
  </si>
  <si>
    <t>Surplus hebdomadaire envisagé</t>
  </si>
  <si>
    <t>Nombre de séjour annuel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</si>
</sst>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 #,##0.00\ &quot;€&quot;_-;\-* #,##0.00\ &quot;€&quot;_-;_-* &quot;-&quot;??\ &quot;€&quot;_-;_-@_-"/>
    <numFmt numFmtId="43" formatCode="_-* #,##0.00\ _€_-;\-* #,##0.00\ _€_-;_-* &quot;-&quot;??\ _€_-;_-@_-"/>
    <numFmt numFmtId="164" formatCode="_-* #,##0.00_-;\-* #,##0.00_-;_-* &quot;-&quot;??_-;_-@_-"/>
    <numFmt numFmtId="165" formatCode="_-* #,##0\ _€_-;\-* #,##0\ _€_-;_-* &quot;-&quot;??\ _€_-;_-@_-"/>
  </numFmts>
  <fonts count="19" x14ac:knownFonts="1">
    <font>
      <sz val="10"/>
      <color theme="1"/>
      <name val="Verdana"/>
      <family val="2"/>
    </font>
    <font>
      <b/>
      <sz val="10"/>
      <color theme="1"/>
      <name val="Verdana"/>
      <family val="2"/>
    </font>
    <font>
      <sz val="8"/>
      <name val="Verdana"/>
      <family val="2"/>
    </font>
    <font>
      <b/>
      <sz val="16"/>
      <color theme="0"/>
      <name val="Verdana"/>
      <family val="2"/>
    </font>
    <font>
      <sz val="9"/>
      <color theme="1"/>
      <name val="Verdana"/>
      <family val="2"/>
    </font>
    <font>
      <sz val="12"/>
      <color theme="1"/>
      <name val="Wingdings"/>
      <charset val="2"/>
    </font>
    <font>
      <sz val="10"/>
      <color theme="1"/>
      <name val="Verdana"/>
      <family val="2"/>
    </font>
    <font>
      <b/>
      <sz val="9"/>
      <color theme="1"/>
      <name val="Verdana"/>
      <family val="2"/>
    </font>
    <font>
      <sz val="11"/>
      <color indexed="8"/>
      <name val="Calibri"/>
      <family val="2"/>
    </font>
    <font>
      <b/>
      <sz val="12"/>
      <color theme="1"/>
      <name val="Wingdings"/>
      <charset val="2"/>
    </font>
    <font>
      <i/>
      <sz val="9"/>
      <color theme="1"/>
      <name val="Verdana"/>
      <family val="2"/>
    </font>
    <font>
      <i/>
      <sz val="10"/>
      <color rgb="FFFF0000"/>
      <name val="Verdana"/>
      <family val="2"/>
    </font>
    <font>
      <sz val="9"/>
      <name val="Verdana"/>
      <family val="2"/>
    </font>
    <font>
      <sz val="10"/>
      <name val="Times New Roman"/>
      <family val="1"/>
    </font>
    <font>
      <b/>
      <sz val="10"/>
      <name val="Times New Roman"/>
      <family val="1"/>
    </font>
    <font>
      <sz val="8"/>
      <color theme="1"/>
      <name val="Verdana"/>
      <family val="2"/>
    </font>
    <font>
      <sz val="14"/>
      <color theme="1"/>
      <name val="Wingdings"/>
      <charset val="2"/>
    </font>
    <font>
      <sz val="14"/>
      <color theme="1"/>
      <name val="Verdana"/>
      <family val="2"/>
    </font>
    <font>
      <u/>
      <sz val="10"/>
      <color theme="10"/>
      <name val="Verdana"/>
      <family val="2"/>
    </font>
  </fonts>
  <fills count="12">
    <fill>
      <patternFill patternType="none"/>
    </fill>
    <fill>
      <patternFill patternType="gray125"/>
    </fill>
    <fill>
      <patternFill patternType="solid">
        <fgColor rgb="FFC0000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ck">
        <color theme="0" tint="-0.34998626667073579"/>
      </right>
      <top style="thin">
        <color theme="0" tint="-0.34998626667073579"/>
      </top>
      <bottom/>
      <diagonal/>
    </border>
    <border>
      <left style="thin">
        <color theme="0" tint="-0.34998626667073579"/>
      </left>
      <right/>
      <top/>
      <bottom/>
      <diagonal/>
    </border>
    <border>
      <left/>
      <right style="thick">
        <color theme="0" tint="-0.34998626667073579"/>
      </right>
      <top/>
      <bottom/>
      <diagonal/>
    </border>
    <border>
      <left style="thin">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ck">
        <color theme="0" tint="-0.34998626667073579"/>
      </left>
      <right/>
      <top/>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thick">
        <color theme="0" tint="-0.34998626667073579"/>
      </bottom>
      <diagonal/>
    </border>
    <border>
      <left/>
      <right/>
      <top style="thin">
        <color theme="0" tint="-0.34998626667073579"/>
      </top>
      <bottom style="thick">
        <color theme="0" tint="-0.34998626667073579"/>
      </bottom>
      <diagonal/>
    </border>
    <border>
      <left/>
      <right style="thick">
        <color theme="0" tint="-0.34998626667073579"/>
      </right>
      <top style="thin">
        <color theme="0" tint="-0.34998626667073579"/>
      </top>
      <bottom style="thick">
        <color theme="0" tint="-0.34998626667073579"/>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theme="0" tint="-0.24994659260841701"/>
      </left>
      <right/>
      <top style="thin">
        <color theme="0" tint="-0.24994659260841701"/>
      </top>
      <bottom style="thick">
        <color theme="0" tint="-0.24994659260841701"/>
      </bottom>
      <diagonal/>
    </border>
    <border>
      <left/>
      <right/>
      <top style="thin">
        <color theme="0" tint="-0.24994659260841701"/>
      </top>
      <bottom style="thick">
        <color theme="0" tint="-0.24994659260841701"/>
      </bottom>
      <diagonal/>
    </border>
    <border>
      <left/>
      <right style="thick">
        <color theme="0" tint="-0.24994659260841701"/>
      </right>
      <top style="thin">
        <color theme="0" tint="-0.24994659260841701"/>
      </top>
      <bottom style="thick">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ck">
        <color theme="0" tint="-0.24994659260841701"/>
      </right>
      <top style="thin">
        <color theme="0" tint="-0.24994659260841701"/>
      </top>
      <bottom/>
      <diagonal/>
    </border>
    <border>
      <left style="thin">
        <color theme="0" tint="-0.24994659260841701"/>
      </left>
      <right/>
      <top/>
      <bottom/>
      <diagonal/>
    </border>
    <border>
      <left/>
      <right style="thick">
        <color theme="0" tint="-0.24994659260841701"/>
      </right>
      <top/>
      <bottom/>
      <diagonal/>
    </border>
    <border>
      <left style="thin">
        <color theme="0" tint="-0.24994659260841701"/>
      </left>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s>
  <cellStyleXfs count="7">
    <xf numFmtId="0" fontId="0" fillId="0" borderId="0"/>
    <xf numFmtId="164" fontId="6" fillId="0" borderId="0" applyFont="0" applyFill="0" applyBorder="0" applyAlignment="0" applyProtection="0"/>
    <xf numFmtId="44" fontId="6" fillId="0" borderId="0" applyFont="0" applyFill="0" applyBorder="0" applyAlignment="0" applyProtection="0"/>
    <xf numFmtId="0" fontId="8" fillId="0" borderId="0"/>
    <xf numFmtId="43" fontId="6" fillId="0" borderId="0" applyFont="0" applyFill="0" applyBorder="0" applyAlignment="0" applyProtection="0"/>
    <xf numFmtId="9" fontId="6" fillId="0" borderId="0" applyFont="0" applyFill="0" applyBorder="0" applyAlignment="0" applyProtection="0"/>
    <xf numFmtId="0" fontId="18" fillId="0" borderId="0" applyNumberFormat="0" applyFill="0" applyBorder="0" applyAlignment="0" applyProtection="0"/>
  </cellStyleXfs>
  <cellXfs count="298">
    <xf numFmtId="0" fontId="0" fillId="0" borderId="0" xfId="0"/>
    <xf numFmtId="0" fontId="0" fillId="0" borderId="0" xfId="0"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0" xfId="0" applyBorder="1" applyAlignment="1">
      <alignment horizontal="right"/>
    </xf>
    <xf numFmtId="0" fontId="5" fillId="0" borderId="0" xfId="0" applyFont="1" applyBorder="1"/>
    <xf numFmtId="0" fontId="5" fillId="0" borderId="5" xfId="0" applyFont="1" applyBorder="1"/>
    <xf numFmtId="0" fontId="0" fillId="0" borderId="5" xfId="0" applyBorder="1"/>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1" fillId="0" borderId="0" xfId="0" applyFont="1" applyBorder="1" applyAlignment="1">
      <alignment horizontal="right"/>
    </xf>
    <xf numFmtId="0" fontId="1" fillId="0" borderId="4" xfId="0" applyFont="1" applyBorder="1"/>
    <xf numFmtId="16" fontId="0" fillId="0" borderId="0" xfId="0" applyNumberFormat="1" applyFont="1" applyBorder="1" applyAlignment="1">
      <alignment horizontal="right"/>
    </xf>
    <xf numFmtId="0" fontId="0" fillId="0" borderId="0" xfId="0" applyFont="1" applyBorder="1" applyAlignment="1">
      <alignment horizontal="right"/>
    </xf>
    <xf numFmtId="0" fontId="0" fillId="0" borderId="0" xfId="0"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4" fillId="0" borderId="0" xfId="0" applyFont="1" applyBorder="1" applyAlignment="1">
      <alignment horizontal="right" vertical="top" wrapText="1"/>
    </xf>
    <xf numFmtId="0" fontId="5" fillId="0" borderId="0" xfId="0" applyFont="1" applyBorder="1" applyAlignment="1">
      <alignment vertical="top" wrapText="1"/>
    </xf>
    <xf numFmtId="0" fontId="5" fillId="0" borderId="5" xfId="0" applyFont="1" applyBorder="1" applyAlignment="1">
      <alignment vertical="top" wrapText="1"/>
    </xf>
    <xf numFmtId="0" fontId="0" fillId="4" borderId="0" xfId="0" applyFill="1" applyBorder="1" applyAlignment="1"/>
    <xf numFmtId="0" fontId="0" fillId="4" borderId="5" xfId="0" applyFill="1" applyBorder="1" applyAlignment="1"/>
    <xf numFmtId="0" fontId="1" fillId="4" borderId="0" xfId="0" applyFont="1" applyFill="1" applyBorder="1" applyAlignment="1"/>
    <xf numFmtId="0" fontId="9" fillId="0" borderId="0" xfId="0" applyFont="1" applyBorder="1"/>
    <xf numFmtId="0" fontId="11" fillId="0" borderId="0" xfId="0" applyFont="1"/>
    <xf numFmtId="0" fontId="11" fillId="0" borderId="9" xfId="0" applyFont="1" applyBorder="1" applyAlignment="1">
      <alignment vertical="center" wrapText="1"/>
    </xf>
    <xf numFmtId="0" fontId="11" fillId="0" borderId="0" xfId="0" applyFont="1" applyBorder="1" applyAlignment="1">
      <alignment vertical="center" wrapText="1"/>
    </xf>
    <xf numFmtId="0" fontId="5" fillId="0" borderId="0" xfId="0" applyFont="1" applyBorder="1" applyAlignment="1">
      <alignment vertical="top"/>
    </xf>
    <xf numFmtId="0" fontId="0" fillId="0" borderId="10" xfId="0" applyBorder="1" applyAlignment="1">
      <alignment horizontal="center"/>
    </xf>
    <xf numFmtId="0" fontId="0" fillId="5" borderId="10" xfId="0" applyFill="1" applyBorder="1" applyAlignment="1">
      <alignment horizontal="center"/>
    </xf>
    <xf numFmtId="0" fontId="0" fillId="0" borderId="0" xfId="0" applyBorder="1" applyAlignment="1">
      <alignment horizontal="center"/>
    </xf>
    <xf numFmtId="0" fontId="0" fillId="7" borderId="16" xfId="0" applyFill="1" applyBorder="1" applyAlignment="1">
      <alignment horizontal="center" vertical="center"/>
    </xf>
    <xf numFmtId="0" fontId="0" fillId="7" borderId="19" xfId="0" applyFill="1" applyBorder="1" applyAlignment="1">
      <alignment horizontal="center" vertical="center"/>
    </xf>
    <xf numFmtId="9" fontId="0" fillId="7" borderId="19" xfId="0" quotePrefix="1" applyNumberFormat="1" applyFill="1" applyBorder="1" applyAlignment="1">
      <alignment horizontal="center" vertical="center"/>
    </xf>
    <xf numFmtId="0" fontId="13" fillId="8" borderId="14" xfId="0" applyFont="1" applyFill="1" applyBorder="1" applyAlignment="1">
      <alignment horizontal="center" vertical="center"/>
    </xf>
    <xf numFmtId="0" fontId="0" fillId="4" borderId="16" xfId="0" applyFill="1" applyBorder="1" applyAlignment="1">
      <alignment horizontal="center" vertical="center"/>
    </xf>
    <xf numFmtId="0" fontId="13" fillId="4" borderId="16" xfId="0" applyFont="1" applyFill="1" applyBorder="1" applyAlignment="1">
      <alignment horizontal="center" vertical="center"/>
    </xf>
    <xf numFmtId="0" fontId="13" fillId="4" borderId="14" xfId="0" applyFont="1" applyFill="1" applyBorder="1" applyAlignment="1">
      <alignment horizontal="center" vertical="center"/>
    </xf>
    <xf numFmtId="0" fontId="0" fillId="8" borderId="14" xfId="0" applyFill="1" applyBorder="1" applyAlignment="1">
      <alignment horizontal="center" vertical="center"/>
    </xf>
    <xf numFmtId="0" fontId="0" fillId="4" borderId="16" xfId="0" applyFill="1" applyBorder="1" applyAlignment="1">
      <alignment horizontal="center"/>
    </xf>
    <xf numFmtId="3" fontId="0" fillId="4" borderId="16" xfId="0" applyNumberFormat="1" applyFill="1" applyBorder="1" applyAlignment="1">
      <alignment horizontal="center"/>
    </xf>
    <xf numFmtId="3" fontId="0" fillId="4" borderId="17" xfId="0" applyNumberFormat="1" applyFill="1" applyBorder="1" applyAlignment="1">
      <alignment horizontal="center"/>
    </xf>
    <xf numFmtId="0" fontId="0" fillId="8" borderId="14" xfId="0" applyFill="1" applyBorder="1" applyAlignment="1">
      <alignment horizontal="center"/>
    </xf>
    <xf numFmtId="3" fontId="0" fillId="8" borderId="14" xfId="0" applyNumberFormat="1" applyFill="1" applyBorder="1" applyAlignment="1">
      <alignment horizontal="center"/>
    </xf>
    <xf numFmtId="3" fontId="0" fillId="8" borderId="22" xfId="0" applyNumberFormat="1" applyFill="1" applyBorder="1" applyAlignment="1">
      <alignment horizontal="center"/>
    </xf>
    <xf numFmtId="0" fontId="0" fillId="8" borderId="19" xfId="0" applyFill="1" applyBorder="1" applyAlignment="1">
      <alignment horizontal="center"/>
    </xf>
    <xf numFmtId="3" fontId="0" fillId="8" borderId="19" xfId="0" applyNumberFormat="1" applyFill="1" applyBorder="1" applyAlignment="1">
      <alignment horizontal="center"/>
    </xf>
    <xf numFmtId="3" fontId="0" fillId="8" borderId="20" xfId="0" applyNumberFormat="1" applyFill="1" applyBorder="1" applyAlignment="1">
      <alignment horizontal="center"/>
    </xf>
    <xf numFmtId="0" fontId="0" fillId="4" borderId="14" xfId="0" applyFill="1" applyBorder="1" applyAlignment="1">
      <alignment horizontal="center"/>
    </xf>
    <xf numFmtId="3" fontId="0" fillId="4" borderId="14" xfId="0" applyNumberFormat="1" applyFill="1" applyBorder="1" applyAlignment="1">
      <alignment horizontal="center"/>
    </xf>
    <xf numFmtId="3" fontId="0" fillId="4" borderId="22" xfId="0" applyNumberFormat="1" applyFill="1" applyBorder="1" applyAlignment="1">
      <alignment horizontal="center"/>
    </xf>
    <xf numFmtId="0" fontId="1" fillId="4" borderId="16" xfId="0" applyFont="1" applyFill="1" applyBorder="1" applyAlignment="1">
      <alignment horizontal="center"/>
    </xf>
    <xf numFmtId="3" fontId="1" fillId="4" borderId="16" xfId="0" applyNumberFormat="1" applyFont="1" applyFill="1" applyBorder="1" applyAlignment="1">
      <alignment horizontal="center"/>
    </xf>
    <xf numFmtId="3" fontId="1" fillId="4" borderId="17" xfId="0" applyNumberFormat="1" applyFont="1" applyFill="1" applyBorder="1" applyAlignment="1">
      <alignment horizontal="center"/>
    </xf>
    <xf numFmtId="0" fontId="0" fillId="8" borderId="16" xfId="0" applyFill="1" applyBorder="1" applyAlignment="1">
      <alignment horizontal="center"/>
    </xf>
    <xf numFmtId="0" fontId="0" fillId="8" borderId="17" xfId="0" applyFill="1" applyBorder="1" applyAlignment="1">
      <alignment horizontal="center"/>
    </xf>
    <xf numFmtId="0" fontId="0" fillId="8" borderId="22" xfId="0" applyFill="1" applyBorder="1" applyAlignment="1">
      <alignment horizontal="center"/>
    </xf>
    <xf numFmtId="0" fontId="0" fillId="5" borderId="18" xfId="0" applyFill="1" applyBorder="1" applyAlignment="1">
      <alignment horizontal="center"/>
    </xf>
    <xf numFmtId="0" fontId="0" fillId="5" borderId="19" xfId="0" applyFill="1" applyBorder="1" applyAlignment="1">
      <alignment horizontal="center"/>
    </xf>
    <xf numFmtId="0" fontId="0" fillId="5" borderId="20" xfId="0" applyFill="1" applyBorder="1" applyAlignment="1">
      <alignment horizontal="center"/>
    </xf>
    <xf numFmtId="0" fontId="0" fillId="4" borderId="22" xfId="0" applyFill="1" applyBorder="1" applyAlignment="1">
      <alignment horizontal="center"/>
    </xf>
    <xf numFmtId="0" fontId="0" fillId="4" borderId="19" xfId="0" applyFill="1" applyBorder="1" applyAlignment="1">
      <alignment horizontal="center"/>
    </xf>
    <xf numFmtId="0" fontId="0" fillId="4" borderId="20" xfId="0" applyFill="1" applyBorder="1" applyAlignment="1">
      <alignment horizontal="center"/>
    </xf>
    <xf numFmtId="0" fontId="0" fillId="8" borderId="25" xfId="0" applyFill="1" applyBorder="1" applyAlignment="1">
      <alignment horizontal="center"/>
    </xf>
    <xf numFmtId="0" fontId="0" fillId="4" borderId="27" xfId="0" applyFill="1" applyBorder="1" applyAlignment="1">
      <alignment horizontal="center"/>
    </xf>
    <xf numFmtId="0" fontId="0" fillId="8" borderId="27" xfId="0" applyFill="1" applyBorder="1" applyAlignment="1">
      <alignment horizontal="center"/>
    </xf>
    <xf numFmtId="0" fontId="0" fillId="4" borderId="33" xfId="0" applyFill="1" applyBorder="1" applyAlignment="1">
      <alignment horizontal="center"/>
    </xf>
    <xf numFmtId="0" fontId="0" fillId="8" borderId="34" xfId="0" applyFill="1" applyBorder="1" applyAlignment="1">
      <alignment horizontal="center"/>
    </xf>
    <xf numFmtId="0" fontId="0" fillId="4" borderId="35" xfId="0" applyFill="1" applyBorder="1" applyAlignment="1">
      <alignment horizontal="center"/>
    </xf>
    <xf numFmtId="0" fontId="0" fillId="8" borderId="35" xfId="0" applyFill="1" applyBorder="1" applyAlignment="1">
      <alignment horizontal="center"/>
    </xf>
    <xf numFmtId="0" fontId="0" fillId="4" borderId="36" xfId="0" applyFill="1" applyBorder="1" applyAlignment="1">
      <alignment horizontal="center"/>
    </xf>
    <xf numFmtId="0" fontId="1" fillId="4" borderId="29" xfId="0" applyFont="1" applyFill="1" applyBorder="1" applyAlignment="1">
      <alignment horizontal="center"/>
    </xf>
    <xf numFmtId="3" fontId="1" fillId="4" borderId="37" xfId="0" applyNumberFormat="1" applyFont="1" applyFill="1" applyBorder="1" applyAlignment="1">
      <alignment horizontal="center"/>
    </xf>
    <xf numFmtId="3" fontId="1" fillId="4" borderId="38" xfId="0" applyNumberFormat="1" applyFont="1" applyFill="1" applyBorder="1" applyAlignment="1">
      <alignment horizontal="center"/>
    </xf>
    <xf numFmtId="3" fontId="1" fillId="4" borderId="39" xfId="0" applyNumberFormat="1" applyFont="1" applyFill="1" applyBorder="1" applyAlignment="1">
      <alignment horizontal="center"/>
    </xf>
    <xf numFmtId="0" fontId="0" fillId="8" borderId="10" xfId="0" applyFill="1" applyBorder="1" applyAlignment="1">
      <alignment horizontal="center"/>
    </xf>
    <xf numFmtId="3" fontId="0" fillId="8" borderId="30" xfId="0" applyNumberFormat="1" applyFill="1" applyBorder="1" applyAlignment="1">
      <alignment horizontal="center"/>
    </xf>
    <xf numFmtId="3" fontId="0" fillId="8" borderId="31" xfId="0" applyNumberFormat="1" applyFill="1" applyBorder="1" applyAlignment="1">
      <alignment horizontal="center"/>
    </xf>
    <xf numFmtId="0" fontId="0" fillId="8" borderId="32" xfId="0" applyFill="1" applyBorder="1" applyAlignment="1">
      <alignment horizontal="center"/>
    </xf>
    <xf numFmtId="0" fontId="0" fillId="8" borderId="48" xfId="0" applyFill="1" applyBorder="1" applyAlignment="1">
      <alignment horizontal="center"/>
    </xf>
    <xf numFmtId="0" fontId="0" fillId="4" borderId="49" xfId="0" applyFill="1" applyBorder="1" applyAlignment="1">
      <alignment horizontal="center"/>
    </xf>
    <xf numFmtId="0" fontId="0" fillId="8" borderId="49" xfId="0" applyFill="1" applyBorder="1" applyAlignment="1">
      <alignment horizontal="center"/>
    </xf>
    <xf numFmtId="0" fontId="0" fillId="8" borderId="50" xfId="0" applyFill="1" applyBorder="1" applyAlignment="1">
      <alignment horizontal="center"/>
    </xf>
    <xf numFmtId="3" fontId="0" fillId="8" borderId="17" xfId="0" applyNumberFormat="1" applyFill="1" applyBorder="1" applyAlignment="1">
      <alignment horizont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5" xfId="0" applyFont="1" applyBorder="1" applyAlignment="1">
      <alignment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5" fillId="0" borderId="21" xfId="0" applyFont="1" applyBorder="1" applyAlignment="1">
      <alignment vertical="center" wrapText="1"/>
    </xf>
    <xf numFmtId="0" fontId="16" fillId="0" borderId="14" xfId="0" applyFont="1" applyBorder="1" applyAlignment="1">
      <alignment horizontal="center" vertical="center" wrapText="1"/>
    </xf>
    <xf numFmtId="0" fontId="16" fillId="0" borderId="2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2" xfId="0" applyFont="1" applyBorder="1" applyAlignment="1">
      <alignment horizontal="center" vertical="center" wrapText="1"/>
    </xf>
    <xf numFmtId="0" fontId="15" fillId="0" borderId="18" xfId="0" applyFont="1" applyBorder="1" applyAlignment="1">
      <alignment vertical="center" wrapText="1"/>
    </xf>
    <xf numFmtId="0" fontId="17" fillId="0" borderId="19" xfId="0" applyFont="1" applyBorder="1" applyAlignment="1">
      <alignment horizontal="center" vertical="center" wrapText="1"/>
    </xf>
    <xf numFmtId="0" fontId="16"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0" fillId="5" borderId="18"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13" fillId="8" borderId="21"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21" xfId="0" applyFont="1" applyFill="1" applyBorder="1" applyAlignment="1">
      <alignment horizontal="center" vertical="center"/>
    </xf>
    <xf numFmtId="0" fontId="0" fillId="5" borderId="45" xfId="0" applyFill="1" applyBorder="1" applyAlignment="1">
      <alignment horizontal="center" vertical="center" wrapText="1"/>
    </xf>
    <xf numFmtId="0" fontId="0" fillId="5" borderId="38" xfId="0" applyFill="1" applyBorder="1" applyAlignment="1">
      <alignment horizontal="center" vertical="center" wrapText="1"/>
    </xf>
    <xf numFmtId="0" fontId="0" fillId="5" borderId="39" xfId="0" applyFill="1" applyBorder="1" applyAlignment="1">
      <alignment horizontal="center" vertical="center" wrapText="1"/>
    </xf>
    <xf numFmtId="0" fontId="0" fillId="5" borderId="37" xfId="0" applyFill="1" applyBorder="1" applyAlignment="1">
      <alignment horizontal="center" vertical="center" wrapText="1"/>
    </xf>
    <xf numFmtId="0" fontId="0" fillId="5" borderId="52" xfId="0" applyFill="1" applyBorder="1" applyAlignment="1">
      <alignment horizontal="center" vertical="center" wrapText="1"/>
    </xf>
    <xf numFmtId="0" fontId="0" fillId="5" borderId="30" xfId="0" applyFill="1" applyBorder="1" applyAlignment="1">
      <alignment horizontal="center" vertical="center" wrapText="1"/>
    </xf>
    <xf numFmtId="0" fontId="0" fillId="8" borderId="53" xfId="0" applyFill="1" applyBorder="1" applyAlignment="1">
      <alignment horizontal="center" vertical="center"/>
    </xf>
    <xf numFmtId="3" fontId="0" fillId="8" borderId="53" xfId="0" applyNumberFormat="1" applyFill="1" applyBorder="1" applyAlignment="1">
      <alignment horizontal="center" vertical="center"/>
    </xf>
    <xf numFmtId="3" fontId="0" fillId="8" borderId="43" xfId="0" applyNumberFormat="1" applyFill="1" applyBorder="1" applyAlignment="1">
      <alignment horizontal="center" vertical="center"/>
    </xf>
    <xf numFmtId="3" fontId="0" fillId="8" borderId="44" xfId="0" applyNumberFormat="1" applyFill="1" applyBorder="1" applyAlignment="1">
      <alignment horizontal="center" vertical="center"/>
    </xf>
    <xf numFmtId="0" fontId="0" fillId="4" borderId="21" xfId="0" applyFill="1" applyBorder="1" applyAlignment="1">
      <alignment horizontal="center" vertical="center"/>
    </xf>
    <xf numFmtId="3" fontId="0" fillId="4" borderId="21" xfId="0" applyNumberFormat="1" applyFill="1" applyBorder="1" applyAlignment="1">
      <alignment horizontal="center" vertical="center"/>
    </xf>
    <xf numFmtId="3" fontId="0" fillId="4" borderId="14" xfId="0" applyNumberFormat="1" applyFill="1" applyBorder="1" applyAlignment="1">
      <alignment horizontal="center" vertical="center"/>
    </xf>
    <xf numFmtId="3" fontId="0" fillId="4" borderId="22" xfId="0" applyNumberFormat="1" applyFill="1" applyBorder="1" applyAlignment="1">
      <alignment horizontal="center" vertical="center"/>
    </xf>
    <xf numFmtId="0" fontId="0" fillId="8" borderId="21" xfId="0" applyFill="1" applyBorder="1" applyAlignment="1">
      <alignment horizontal="center" vertical="center"/>
    </xf>
    <xf numFmtId="3" fontId="0" fillId="8" borderId="21" xfId="0" applyNumberFormat="1" applyFill="1" applyBorder="1" applyAlignment="1">
      <alignment horizontal="center" vertical="center"/>
    </xf>
    <xf numFmtId="3" fontId="0" fillId="8" borderId="14" xfId="0" applyNumberFormat="1" applyFill="1" applyBorder="1" applyAlignment="1">
      <alignment horizontal="center" vertical="center"/>
    </xf>
    <xf numFmtId="3" fontId="0" fillId="8" borderId="22" xfId="0" applyNumberFormat="1" applyFill="1" applyBorder="1" applyAlignment="1">
      <alignment horizontal="center" vertical="center"/>
    </xf>
    <xf numFmtId="0" fontId="0" fillId="8" borderId="18" xfId="0" applyFill="1" applyBorder="1" applyAlignment="1">
      <alignment horizontal="center" vertical="center"/>
    </xf>
    <xf numFmtId="3" fontId="0" fillId="8" borderId="18" xfId="0" applyNumberFormat="1" applyFill="1" applyBorder="1" applyAlignment="1">
      <alignment horizontal="center" vertical="center"/>
    </xf>
    <xf numFmtId="3" fontId="0" fillId="8" borderId="19" xfId="0" applyNumberFormat="1" applyFill="1" applyBorder="1" applyAlignment="1">
      <alignment horizontal="center" vertical="center"/>
    </xf>
    <xf numFmtId="3" fontId="0" fillId="8" borderId="20" xfId="0" applyNumberFormat="1" applyFill="1" applyBorder="1" applyAlignment="1">
      <alignment horizontal="center" vertical="center"/>
    </xf>
    <xf numFmtId="10" fontId="0" fillId="0" borderId="0" xfId="0" applyNumberFormat="1"/>
    <xf numFmtId="3" fontId="13" fillId="4" borderId="15" xfId="0" applyNumberFormat="1" applyFont="1" applyFill="1" applyBorder="1" applyAlignment="1">
      <alignment horizontal="center" vertical="center"/>
    </xf>
    <xf numFmtId="3" fontId="13" fillId="4" borderId="16" xfId="0" applyNumberFormat="1" applyFont="1" applyFill="1" applyBorder="1" applyAlignment="1">
      <alignment horizontal="center" vertical="center"/>
    </xf>
    <xf numFmtId="1" fontId="13" fillId="4" borderId="23" xfId="0" applyNumberFormat="1" applyFont="1" applyFill="1" applyBorder="1" applyAlignment="1">
      <alignment horizontal="center" vertical="center"/>
    </xf>
    <xf numFmtId="3" fontId="13" fillId="4" borderId="17" xfId="0" applyNumberFormat="1" applyFont="1" applyFill="1" applyBorder="1" applyAlignment="1">
      <alignment horizontal="center" vertical="center"/>
    </xf>
    <xf numFmtId="3" fontId="13" fillId="8" borderId="21" xfId="0" applyNumberFormat="1" applyFont="1" applyFill="1" applyBorder="1" applyAlignment="1">
      <alignment horizontal="center" vertical="center"/>
    </xf>
    <xf numFmtId="3" fontId="13" fillId="8" borderId="14" xfId="0" applyNumberFormat="1" applyFont="1" applyFill="1" applyBorder="1" applyAlignment="1">
      <alignment horizontal="center" vertical="center"/>
    </xf>
    <xf numFmtId="3" fontId="13" fillId="8" borderId="26" xfId="0" applyNumberFormat="1" applyFont="1" applyFill="1" applyBorder="1" applyAlignment="1">
      <alignment horizontal="center" vertical="center"/>
    </xf>
    <xf numFmtId="3" fontId="13" fillId="8" borderId="22" xfId="0" applyNumberFormat="1" applyFont="1" applyFill="1" applyBorder="1" applyAlignment="1">
      <alignment horizontal="center" vertical="center"/>
    </xf>
    <xf numFmtId="3" fontId="13" fillId="4" borderId="21" xfId="0" applyNumberFormat="1" applyFont="1" applyFill="1" applyBorder="1" applyAlignment="1">
      <alignment horizontal="center" vertical="center"/>
    </xf>
    <xf numFmtId="3" fontId="13" fillId="4" borderId="14" xfId="0" applyNumberFormat="1" applyFont="1" applyFill="1" applyBorder="1" applyAlignment="1">
      <alignment horizontal="center" vertical="center"/>
    </xf>
    <xf numFmtId="3" fontId="13" fillId="4" borderId="26" xfId="0" applyNumberFormat="1" applyFont="1" applyFill="1" applyBorder="1" applyAlignment="1">
      <alignment horizontal="center" vertical="center"/>
    </xf>
    <xf numFmtId="3" fontId="13" fillId="4" borderId="22" xfId="0" applyNumberFormat="1" applyFont="1" applyFill="1" applyBorder="1" applyAlignment="1">
      <alignment horizontal="center" vertical="center"/>
    </xf>
    <xf numFmtId="3" fontId="13" fillId="4" borderId="18" xfId="0" applyNumberFormat="1" applyFont="1" applyFill="1" applyBorder="1" applyAlignment="1">
      <alignment horizontal="center" vertical="center"/>
    </xf>
    <xf numFmtId="3" fontId="13" fillId="4" borderId="19" xfId="0" applyNumberFormat="1" applyFont="1" applyFill="1" applyBorder="1" applyAlignment="1">
      <alignment horizontal="center" vertical="center"/>
    </xf>
    <xf numFmtId="3" fontId="13" fillId="4" borderId="51" xfId="0" applyNumberFormat="1" applyFont="1" applyFill="1" applyBorder="1" applyAlignment="1">
      <alignment horizontal="center" vertical="center"/>
    </xf>
    <xf numFmtId="3" fontId="13" fillId="4" borderId="20" xfId="0" applyNumberFormat="1" applyFont="1" applyFill="1" applyBorder="1" applyAlignment="1">
      <alignment horizontal="center" vertical="center"/>
    </xf>
    <xf numFmtId="3" fontId="0" fillId="0" borderId="0" xfId="0" applyNumberFormat="1" applyAlignment="1">
      <alignment horizontal="center"/>
    </xf>
    <xf numFmtId="3" fontId="1" fillId="9" borderId="30" xfId="0" applyNumberFormat="1" applyFont="1" applyFill="1" applyBorder="1" applyAlignment="1">
      <alignment horizontal="center"/>
    </xf>
    <xf numFmtId="3" fontId="1" fillId="9" borderId="31" xfId="0" applyNumberFormat="1" applyFont="1" applyFill="1" applyBorder="1" applyAlignment="1">
      <alignment horizontal="center"/>
    </xf>
    <xf numFmtId="3" fontId="1" fillId="9" borderId="32" xfId="0" applyNumberFormat="1" applyFont="1" applyFill="1" applyBorder="1" applyAlignment="1">
      <alignment horizontal="center"/>
    </xf>
    <xf numFmtId="0" fontId="14" fillId="10" borderId="10" xfId="0" applyFont="1" applyFill="1" applyBorder="1" applyAlignment="1">
      <alignment horizontal="center" vertical="center" wrapText="1"/>
    </xf>
    <xf numFmtId="43" fontId="14" fillId="10" borderId="10" xfId="4" applyFont="1" applyFill="1" applyBorder="1" applyAlignment="1">
      <alignment horizontal="center" vertical="center" wrapText="1"/>
    </xf>
    <xf numFmtId="43" fontId="14" fillId="10" borderId="10" xfId="4" applyNumberFormat="1" applyFont="1" applyFill="1" applyBorder="1" applyAlignment="1">
      <alignment horizontal="center" vertical="center" wrapText="1"/>
    </xf>
    <xf numFmtId="0" fontId="13" fillId="10" borderId="10" xfId="0" applyFont="1" applyFill="1" applyBorder="1" applyAlignment="1">
      <alignment horizontal="center" vertical="center"/>
    </xf>
    <xf numFmtId="0" fontId="0" fillId="8" borderId="22" xfId="0" applyFill="1" applyBorder="1" applyAlignment="1">
      <alignment horizontal="center" vertical="center"/>
    </xf>
    <xf numFmtId="0" fontId="0" fillId="4" borderId="22" xfId="0" applyFill="1" applyBorder="1" applyAlignment="1">
      <alignment horizontal="center" vertical="center"/>
    </xf>
    <xf numFmtId="0" fontId="0" fillId="8" borderId="20" xfId="0" applyFill="1" applyBorder="1" applyAlignment="1">
      <alignment horizontal="center" vertical="center"/>
    </xf>
    <xf numFmtId="0" fontId="0" fillId="8" borderId="44" xfId="0" applyFill="1" applyBorder="1" applyAlignment="1">
      <alignment horizontal="center" vertical="center"/>
    </xf>
    <xf numFmtId="0" fontId="13" fillId="10" borderId="47" xfId="0" applyFont="1" applyFill="1" applyBorder="1" applyAlignment="1">
      <alignment horizontal="center" vertical="center" wrapText="1"/>
    </xf>
    <xf numFmtId="165" fontId="13" fillId="11" borderId="10" xfId="4" applyNumberFormat="1" applyFont="1" applyFill="1" applyBorder="1" applyAlignment="1">
      <alignment horizontal="center" vertical="center"/>
    </xf>
    <xf numFmtId="43" fontId="13" fillId="11" borderId="10" xfId="4" applyNumberFormat="1" applyFont="1" applyFill="1" applyBorder="1" applyAlignment="1">
      <alignment horizontal="center" vertical="center"/>
    </xf>
    <xf numFmtId="0" fontId="1" fillId="8" borderId="19" xfId="0" applyFont="1" applyFill="1" applyBorder="1" applyAlignment="1">
      <alignment horizontal="center"/>
    </xf>
    <xf numFmtId="3" fontId="1" fillId="8" borderId="19" xfId="0" applyNumberFormat="1" applyFont="1" applyFill="1" applyBorder="1" applyAlignment="1">
      <alignment horizontal="center"/>
    </xf>
    <xf numFmtId="3" fontId="1" fillId="8" borderId="20" xfId="0" applyNumberFormat="1" applyFont="1" applyFill="1" applyBorder="1" applyAlignment="1">
      <alignment horizontal="center"/>
    </xf>
    <xf numFmtId="0" fontId="0" fillId="5" borderId="30" xfId="0" applyFill="1" applyBorder="1" applyAlignment="1">
      <alignment horizontal="center"/>
    </xf>
    <xf numFmtId="0" fontId="0" fillId="5" borderId="32" xfId="0" applyFill="1" applyBorder="1" applyAlignment="1">
      <alignment horizontal="center"/>
    </xf>
    <xf numFmtId="0" fontId="0" fillId="0" borderId="22" xfId="0" applyFill="1" applyBorder="1" applyAlignment="1">
      <alignment horizontal="center"/>
    </xf>
    <xf numFmtId="0" fontId="0" fillId="0" borderId="20" xfId="0" applyFill="1" applyBorder="1" applyAlignment="1">
      <alignment horizontal="center"/>
    </xf>
    <xf numFmtId="0" fontId="0" fillId="0" borderId="44" xfId="0" applyFill="1" applyBorder="1" applyAlignment="1">
      <alignment horizontal="center"/>
    </xf>
    <xf numFmtId="0" fontId="0" fillId="0" borderId="17" xfId="0" applyFill="1" applyBorder="1" applyAlignment="1">
      <alignment horizontal="center"/>
    </xf>
    <xf numFmtId="3" fontId="0" fillId="0" borderId="15" xfId="0" applyNumberFormat="1" applyFill="1" applyBorder="1" applyAlignment="1">
      <alignment horizontal="center"/>
    </xf>
    <xf numFmtId="3" fontId="0" fillId="0" borderId="17" xfId="0" applyNumberFormat="1" applyFill="1" applyBorder="1" applyAlignment="1">
      <alignment horizontal="center"/>
    </xf>
    <xf numFmtId="3" fontId="0" fillId="0" borderId="21" xfId="0" applyNumberFormat="1" applyFill="1" applyBorder="1" applyAlignment="1">
      <alignment horizontal="center"/>
    </xf>
    <xf numFmtId="3" fontId="0" fillId="0" borderId="22" xfId="0" applyNumberFormat="1" applyFill="1" applyBorder="1" applyAlignment="1">
      <alignment horizontal="center"/>
    </xf>
    <xf numFmtId="3" fontId="0" fillId="0" borderId="40" xfId="0" applyNumberFormat="1" applyFill="1" applyBorder="1" applyAlignment="1">
      <alignment horizontal="center"/>
    </xf>
    <xf numFmtId="3" fontId="0" fillId="0" borderId="41" xfId="0" applyNumberFormat="1" applyFill="1" applyBorder="1" applyAlignment="1">
      <alignment horizontal="center"/>
    </xf>
    <xf numFmtId="3" fontId="1" fillId="0" borderId="15" xfId="0" applyNumberFormat="1" applyFont="1" applyFill="1" applyBorder="1" applyAlignment="1">
      <alignment horizontal="center"/>
    </xf>
    <xf numFmtId="3" fontId="1" fillId="0" borderId="17" xfId="0" applyNumberFormat="1" applyFont="1" applyFill="1" applyBorder="1" applyAlignment="1">
      <alignment horizontal="center"/>
    </xf>
    <xf numFmtId="9" fontId="0" fillId="0" borderId="18" xfId="5" applyFont="1" applyFill="1" applyBorder="1" applyAlignment="1">
      <alignment horizontal="center"/>
    </xf>
    <xf numFmtId="9" fontId="0" fillId="0" borderId="20" xfId="5" applyFont="1" applyFill="1" applyBorder="1" applyAlignment="1">
      <alignment horizontal="center"/>
    </xf>
    <xf numFmtId="0" fontId="0" fillId="0" borderId="0" xfId="0" applyFont="1" applyAlignment="1">
      <alignment vertical="top" wrapText="1"/>
    </xf>
    <xf numFmtId="0" fontId="9" fillId="0" borderId="5" xfId="0" applyFont="1" applyBorder="1"/>
    <xf numFmtId="0" fontId="18" fillId="0" borderId="0" xfId="6"/>
    <xf numFmtId="0" fontId="0" fillId="5" borderId="10" xfId="0" applyFill="1" applyBorder="1" applyAlignment="1">
      <alignment horizontal="center"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4" fillId="0" borderId="4" xfId="0" applyFont="1" applyBorder="1" applyAlignment="1">
      <alignment horizontal="left" vertical="top" wrapText="1"/>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4"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4" xfId="0" quotePrefix="1"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12" fillId="0" borderId="4" xfId="0" applyFont="1" applyBorder="1" applyAlignment="1">
      <alignment horizontal="left" vertical="top" wrapText="1"/>
    </xf>
    <xf numFmtId="0" fontId="12" fillId="0" borderId="0" xfId="0" applyFont="1" applyBorder="1" applyAlignment="1">
      <alignment horizontal="left" vertical="top"/>
    </xf>
    <xf numFmtId="0" fontId="12" fillId="0" borderId="5" xfId="0" applyFont="1" applyBorder="1" applyAlignment="1">
      <alignment horizontal="left" vertical="top"/>
    </xf>
    <xf numFmtId="0" fontId="12" fillId="0" borderId="4"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3" fillId="2" borderId="0" xfId="0" applyFont="1" applyFill="1" applyAlignment="1">
      <alignment horizontal="center" vertical="center" wrapText="1"/>
    </xf>
    <xf numFmtId="0" fontId="4" fillId="0" borderId="0" xfId="0" quotePrefix="1" applyFont="1" applyBorder="1" applyAlignment="1">
      <alignment horizontal="left" vertical="top" wrapText="1"/>
    </xf>
    <xf numFmtId="0" fontId="4" fillId="0" borderId="5" xfId="0" quotePrefix="1" applyFont="1" applyBorder="1" applyAlignment="1">
      <alignment horizontal="left" vertical="top" wrapText="1"/>
    </xf>
    <xf numFmtId="0" fontId="4" fillId="0" borderId="6" xfId="0" quotePrefix="1" applyFont="1" applyBorder="1" applyAlignment="1">
      <alignment horizontal="left" vertical="top" wrapText="1"/>
    </xf>
    <xf numFmtId="0" fontId="4" fillId="0" borderId="7" xfId="0" quotePrefix="1" applyFont="1" applyBorder="1" applyAlignment="1">
      <alignment horizontal="left" vertical="top" wrapText="1"/>
    </xf>
    <xf numFmtId="0" fontId="4" fillId="0" borderId="8" xfId="0" quotePrefix="1" applyFont="1" applyBorder="1" applyAlignment="1">
      <alignment horizontal="left" vertical="top" wrapText="1"/>
    </xf>
    <xf numFmtId="0" fontId="3" fillId="3" borderId="0" xfId="0" applyFont="1" applyFill="1" applyBorder="1" applyAlignment="1">
      <alignment horizontal="center" wrapText="1"/>
    </xf>
    <xf numFmtId="0" fontId="3" fillId="3" borderId="5" xfId="0" applyFont="1" applyFill="1" applyBorder="1" applyAlignment="1">
      <alignment horizontal="center" wrapText="1"/>
    </xf>
    <xf numFmtId="0" fontId="13" fillId="8" borderId="14" xfId="0" applyFont="1" applyFill="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13" fillId="8" borderId="19" xfId="0" applyFont="1" applyFill="1" applyBorder="1" applyAlignment="1">
      <alignment horizontal="center" vertical="center"/>
    </xf>
    <xf numFmtId="0" fontId="0" fillId="7" borderId="16" xfId="0" applyFill="1" applyBorder="1" applyAlignment="1">
      <alignment horizontal="center" vertical="center"/>
    </xf>
    <xf numFmtId="0" fontId="0" fillId="7" borderId="19" xfId="0" applyFill="1"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8" borderId="14" xfId="0" applyFill="1" applyBorder="1" applyAlignment="1">
      <alignment horizontal="center" vertical="center"/>
    </xf>
    <xf numFmtId="0" fontId="0" fillId="8" borderId="19"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vertical="center"/>
    </xf>
    <xf numFmtId="0" fontId="1" fillId="8" borderId="51" xfId="0" applyFont="1" applyFill="1" applyBorder="1" applyAlignment="1">
      <alignment horizontal="center" vertical="center"/>
    </xf>
    <xf numFmtId="0" fontId="1" fillId="8" borderId="54" xfId="0" applyFont="1" applyFill="1" applyBorder="1" applyAlignment="1">
      <alignment horizontal="center" vertical="center"/>
    </xf>
    <xf numFmtId="0" fontId="1" fillId="8" borderId="33"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25" xfId="0" applyFont="1" applyFill="1" applyBorder="1" applyAlignment="1">
      <alignment horizontal="center" vertical="center"/>
    </xf>
    <xf numFmtId="0" fontId="3" fillId="6" borderId="11"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4" fillId="0" borderId="11" xfId="0" applyFont="1" applyBorder="1" applyAlignment="1">
      <alignment horizontal="left" vertical="top"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0" fillId="7" borderId="17" xfId="0" applyFill="1" applyBorder="1" applyAlignment="1">
      <alignment horizontal="center" vertical="center"/>
    </xf>
    <xf numFmtId="0" fontId="0" fillId="7" borderId="20" xfId="0" applyFill="1" applyBorder="1" applyAlignment="1">
      <alignment horizontal="center" vertical="center"/>
    </xf>
    <xf numFmtId="0" fontId="0" fillId="7" borderId="15" xfId="0" applyFill="1" applyBorder="1" applyAlignment="1">
      <alignment horizontal="center" vertical="center"/>
    </xf>
    <xf numFmtId="0" fontId="0" fillId="7" borderId="18" xfId="0" applyFill="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7" borderId="46" xfId="0" applyFont="1" applyFill="1" applyBorder="1" applyAlignment="1">
      <alignment horizontal="center"/>
    </xf>
    <xf numFmtId="0" fontId="1" fillId="7" borderId="47" xfId="0" applyFont="1" applyFill="1" applyBorder="1" applyAlignment="1">
      <alignment horizontal="center"/>
    </xf>
    <xf numFmtId="0" fontId="15" fillId="0" borderId="16" xfId="0" applyFont="1" applyBorder="1" applyAlignment="1">
      <alignment horizontal="center" vertical="center" wrapText="1"/>
    </xf>
    <xf numFmtId="0" fontId="15" fillId="0" borderId="19" xfId="0" applyFont="1" applyBorder="1" applyAlignment="1">
      <alignment horizontal="center" vertical="center" wrapText="1"/>
    </xf>
    <xf numFmtId="0" fontId="0" fillId="7" borderId="30" xfId="0" applyFill="1" applyBorder="1" applyAlignment="1">
      <alignment horizontal="center"/>
    </xf>
    <xf numFmtId="0" fontId="0" fillId="7" borderId="31" xfId="0" applyFill="1" applyBorder="1" applyAlignment="1">
      <alignment horizontal="center"/>
    </xf>
    <xf numFmtId="0" fontId="0" fillId="7" borderId="32" xfId="0" applyFill="1" applyBorder="1" applyAlignment="1">
      <alignment horizontal="center"/>
    </xf>
    <xf numFmtId="0" fontId="0" fillId="7" borderId="28" xfId="0" applyFill="1" applyBorder="1" applyAlignment="1">
      <alignment horizontal="center" vertical="center"/>
    </xf>
    <xf numFmtId="0" fontId="0" fillId="7" borderId="29" xfId="0"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17" xfId="0" applyFont="1" applyFill="1" applyBorder="1" applyAlignment="1">
      <alignment horizontal="center" vertical="center"/>
    </xf>
    <xf numFmtId="0" fontId="15" fillId="0" borderId="15" xfId="0" applyFont="1" applyBorder="1" applyAlignment="1">
      <alignment vertical="center" wrapText="1"/>
    </xf>
    <xf numFmtId="0" fontId="15" fillId="0" borderId="18" xfId="0" applyFont="1" applyBorder="1" applyAlignment="1">
      <alignment vertical="center" wrapText="1"/>
    </xf>
    <xf numFmtId="0" fontId="15" fillId="0" borderId="17" xfId="0" applyFont="1" applyBorder="1" applyAlignment="1">
      <alignment horizontal="center" vertical="center" wrapText="1"/>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8" borderId="21" xfId="0" applyFont="1" applyFill="1" applyBorder="1" applyAlignment="1">
      <alignment horizontal="center" vertical="center"/>
    </xf>
    <xf numFmtId="0" fontId="13" fillId="8" borderId="22"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7" xfId="0" applyFont="1" applyFill="1" applyBorder="1" applyAlignment="1">
      <alignment horizontal="center" vertical="center"/>
    </xf>
    <xf numFmtId="0" fontId="0" fillId="7" borderId="15" xfId="0" applyFill="1" applyBorder="1" applyAlignment="1">
      <alignment horizontal="center"/>
    </xf>
    <xf numFmtId="0" fontId="0" fillId="7" borderId="17" xfId="0" applyFill="1" applyBorder="1" applyAlignment="1">
      <alignment horizontal="center"/>
    </xf>
    <xf numFmtId="0" fontId="0" fillId="7" borderId="16" xfId="0" applyFill="1" applyBorder="1" applyAlignment="1">
      <alignment horizontal="center"/>
    </xf>
    <xf numFmtId="0" fontId="4" fillId="0" borderId="56" xfId="0" applyFont="1" applyBorder="1" applyAlignment="1">
      <alignment horizontal="left" vertical="top" wrapText="1"/>
    </xf>
    <xf numFmtId="0" fontId="4" fillId="0" borderId="57" xfId="0" applyFont="1" applyBorder="1" applyAlignment="1">
      <alignment horizontal="left" vertical="top" wrapText="1"/>
    </xf>
    <xf numFmtId="0" fontId="4" fillId="0" borderId="58" xfId="0" applyFont="1" applyBorder="1" applyAlignment="1">
      <alignment horizontal="left" vertical="top" wrapText="1"/>
    </xf>
    <xf numFmtId="0" fontId="1" fillId="0" borderId="55" xfId="0" applyFont="1" applyFill="1" applyBorder="1" applyAlignment="1">
      <alignment horizontal="center"/>
    </xf>
    <xf numFmtId="0" fontId="1" fillId="0" borderId="42" xfId="0" applyFont="1" applyFill="1" applyBorder="1" applyAlignment="1">
      <alignment horizontal="center"/>
    </xf>
    <xf numFmtId="0" fontId="0" fillId="0" borderId="0" xfId="0" applyFill="1" applyBorder="1" applyAlignment="1">
      <alignment horizontal="center" vertical="center"/>
    </xf>
    <xf numFmtId="0" fontId="1" fillId="0" borderId="53"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59" xfId="0" applyFont="1" applyBorder="1" applyAlignment="1">
      <alignment horizontal="center" vertical="top" wrapText="1"/>
    </xf>
    <xf numFmtId="0" fontId="0" fillId="0" borderId="60" xfId="0" applyFont="1" applyBorder="1" applyAlignment="1">
      <alignment horizontal="center" vertical="top" wrapText="1"/>
    </xf>
    <xf numFmtId="0" fontId="0" fillId="0" borderId="61" xfId="0" applyFont="1" applyBorder="1" applyAlignment="1">
      <alignment horizontal="center" vertical="top" wrapText="1"/>
    </xf>
    <xf numFmtId="0" fontId="0" fillId="0" borderId="62" xfId="0" applyFont="1" applyBorder="1" applyAlignment="1">
      <alignment horizontal="center" vertical="top" wrapText="1"/>
    </xf>
    <xf numFmtId="0" fontId="0" fillId="0" borderId="0" xfId="0" applyFont="1" applyBorder="1" applyAlignment="1">
      <alignment horizontal="center" vertical="top" wrapText="1"/>
    </xf>
    <xf numFmtId="0" fontId="0" fillId="0" borderId="63" xfId="0" applyFont="1" applyBorder="1" applyAlignment="1">
      <alignment horizontal="center" vertical="top" wrapText="1"/>
    </xf>
    <xf numFmtId="0" fontId="0" fillId="0" borderId="64" xfId="0" applyFont="1" applyBorder="1" applyAlignment="1">
      <alignment horizontal="center" vertical="top" wrapText="1"/>
    </xf>
    <xf numFmtId="0" fontId="0" fillId="0" borderId="65" xfId="0" applyFont="1" applyBorder="1" applyAlignment="1">
      <alignment horizontal="center" vertical="top" wrapText="1"/>
    </xf>
    <xf numFmtId="0" fontId="0" fillId="0" borderId="66" xfId="0" applyFont="1" applyBorder="1" applyAlignment="1">
      <alignment horizontal="center" vertical="top" wrapText="1"/>
    </xf>
  </cellXfs>
  <cellStyles count="7">
    <cellStyle name="Lien hypertexte" xfId="6" builtinId="8"/>
    <cellStyle name="Milliers" xfId="4" builtinId="3"/>
    <cellStyle name="Milliers 2" xfId="1" xr:uid="{00000000-0005-0000-0000-000000000000}"/>
    <cellStyle name="Monétaire 2" xfId="2" xr:uid="{00000000-0005-0000-0000-000001000000}"/>
    <cellStyle name="Normal" xfId="0" builtinId="0"/>
    <cellStyle name="Normal 2" xfId="3" xr:uid="{00000000-0005-0000-0000-000003000000}"/>
    <cellStyle name="Pourcentage" xfId="5" builtinId="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cansante.fr/applications/enc-mc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1:N105"/>
  <sheetViews>
    <sheetView showGridLines="0" tabSelected="1" zoomScaleNormal="100" workbookViewId="0">
      <selection activeCell="B20" sqref="B22:K34"/>
    </sheetView>
  </sheetViews>
  <sheetFormatPr baseColWidth="10" defaultRowHeight="13.5" x14ac:dyDescent="0.3"/>
  <cols>
    <col min="1" max="1" width="3.23046875" customWidth="1"/>
    <col min="2" max="2" width="17.4609375" customWidth="1"/>
  </cols>
  <sheetData>
    <row r="1" spans="2:11" ht="19.75" customHeight="1" x14ac:dyDescent="0.3">
      <c r="B1" s="210" t="s">
        <v>230</v>
      </c>
      <c r="C1" s="210"/>
      <c r="D1" s="210"/>
      <c r="E1" s="210"/>
      <c r="F1" s="210"/>
      <c r="G1" s="210"/>
      <c r="H1" s="210"/>
      <c r="I1" s="210"/>
      <c r="J1" s="210"/>
      <c r="K1" s="210"/>
    </row>
    <row r="2" spans="2:11" ht="19.75" customHeight="1" x14ac:dyDescent="0.3">
      <c r="B2" s="210"/>
      <c r="C2" s="210"/>
      <c r="D2" s="210"/>
      <c r="E2" s="210"/>
      <c r="F2" s="210"/>
      <c r="G2" s="210"/>
      <c r="H2" s="210"/>
      <c r="I2" s="210"/>
      <c r="J2" s="210"/>
      <c r="K2" s="210"/>
    </row>
    <row r="4" spans="2:11" ht="19.5" x14ac:dyDescent="0.35">
      <c r="B4" s="187" t="s">
        <v>0</v>
      </c>
      <c r="C4" s="188"/>
      <c r="D4" s="188"/>
      <c r="E4" s="188"/>
      <c r="F4" s="188"/>
      <c r="G4" s="188"/>
      <c r="H4" s="188"/>
      <c r="I4" s="188"/>
      <c r="J4" s="188"/>
      <c r="K4" s="189"/>
    </row>
    <row r="5" spans="2:11" ht="8" customHeight="1" x14ac:dyDescent="0.3">
      <c r="B5" s="2"/>
      <c r="C5" s="3"/>
      <c r="D5" s="3"/>
      <c r="E5" s="3"/>
      <c r="F5" s="3"/>
      <c r="G5" s="3"/>
      <c r="H5" s="3"/>
      <c r="I5" s="3"/>
      <c r="J5" s="3"/>
      <c r="K5" s="4"/>
    </row>
    <row r="6" spans="2:11" ht="15" x14ac:dyDescent="0.3">
      <c r="B6" s="5" t="s">
        <v>13</v>
      </c>
      <c r="C6" s="6"/>
      <c r="D6" s="14" t="s">
        <v>1</v>
      </c>
      <c r="E6" s="27" t="s">
        <v>21</v>
      </c>
      <c r="F6" s="14" t="s">
        <v>2</v>
      </c>
      <c r="G6" s="8" t="s">
        <v>5</v>
      </c>
      <c r="H6" s="14" t="s">
        <v>3</v>
      </c>
      <c r="I6" s="8" t="s">
        <v>5</v>
      </c>
      <c r="J6" s="14" t="s">
        <v>4</v>
      </c>
      <c r="K6" s="9" t="s">
        <v>5</v>
      </c>
    </row>
    <row r="7" spans="2:11" ht="8" customHeight="1" x14ac:dyDescent="0.3">
      <c r="B7" s="5"/>
      <c r="C7" s="6"/>
      <c r="D7" s="6"/>
      <c r="E7" s="6"/>
      <c r="F7" s="6"/>
      <c r="G7" s="6"/>
      <c r="H7" s="6"/>
      <c r="I7" s="6"/>
      <c r="J7" s="6"/>
      <c r="K7" s="10"/>
    </row>
    <row r="8" spans="2:11" ht="15" x14ac:dyDescent="0.3">
      <c r="B8" s="5" t="s">
        <v>14</v>
      </c>
      <c r="C8" s="6"/>
      <c r="D8" s="16" t="s">
        <v>9</v>
      </c>
      <c r="E8" s="8" t="s">
        <v>5</v>
      </c>
      <c r="F8" s="17" t="s">
        <v>6</v>
      </c>
      <c r="G8" s="8" t="s">
        <v>5</v>
      </c>
      <c r="H8" s="17" t="s">
        <v>7</v>
      </c>
      <c r="I8" s="8" t="s">
        <v>5</v>
      </c>
      <c r="J8" s="17" t="s">
        <v>8</v>
      </c>
      <c r="K8" s="184" t="s">
        <v>21</v>
      </c>
    </row>
    <row r="9" spans="2:11" ht="8" customHeight="1" x14ac:dyDescent="0.3">
      <c r="B9" s="5"/>
      <c r="C9" s="6"/>
      <c r="D9" s="6"/>
      <c r="E9" s="6"/>
      <c r="F9" s="6"/>
      <c r="G9" s="6"/>
      <c r="H9" s="6"/>
      <c r="I9" s="6"/>
      <c r="J9" s="6"/>
      <c r="K9" s="10"/>
    </row>
    <row r="10" spans="2:11" ht="15" x14ac:dyDescent="0.3">
      <c r="B10" s="5" t="s">
        <v>15</v>
      </c>
      <c r="C10" s="6"/>
      <c r="D10" s="14" t="s">
        <v>10</v>
      </c>
      <c r="E10" s="8" t="s">
        <v>5</v>
      </c>
      <c r="F10" s="14" t="s">
        <v>11</v>
      </c>
      <c r="G10" s="27" t="s">
        <v>21</v>
      </c>
      <c r="H10" s="6"/>
      <c r="I10" s="6"/>
      <c r="J10" s="6"/>
      <c r="K10" s="10"/>
    </row>
    <row r="11" spans="2:11" ht="8" customHeight="1" x14ac:dyDescent="0.3">
      <c r="B11" s="5"/>
      <c r="C11" s="6"/>
      <c r="D11" s="7"/>
      <c r="E11" s="8"/>
      <c r="F11" s="7"/>
      <c r="G11" s="8"/>
      <c r="H11" s="6"/>
      <c r="I11" s="6"/>
      <c r="J11" s="6"/>
      <c r="K11" s="10"/>
    </row>
    <row r="12" spans="2:11" s="18" customFormat="1" ht="27" x14ac:dyDescent="0.3">
      <c r="B12" s="19" t="s">
        <v>17</v>
      </c>
      <c r="C12" s="20"/>
      <c r="D12" s="21" t="s">
        <v>16</v>
      </c>
      <c r="E12" s="31" t="s">
        <v>21</v>
      </c>
      <c r="F12" s="21" t="s">
        <v>18</v>
      </c>
      <c r="G12" s="22" t="s">
        <v>5</v>
      </c>
      <c r="H12" s="21" t="s">
        <v>19</v>
      </c>
      <c r="I12" s="31" t="s">
        <v>21</v>
      </c>
      <c r="J12" s="21" t="s">
        <v>20</v>
      </c>
      <c r="K12" s="23" t="s">
        <v>5</v>
      </c>
    </row>
    <row r="13" spans="2:11" ht="8" customHeight="1" x14ac:dyDescent="0.3">
      <c r="B13" s="5"/>
      <c r="C13" s="6"/>
      <c r="D13" s="7"/>
      <c r="E13" s="8"/>
      <c r="F13" s="7"/>
      <c r="G13" s="8"/>
      <c r="H13" s="6"/>
      <c r="I13" s="6"/>
      <c r="J13" s="6"/>
      <c r="K13" s="10"/>
    </row>
    <row r="14" spans="2:11" ht="15" customHeight="1" x14ac:dyDescent="0.3">
      <c r="B14" s="15" t="s">
        <v>12</v>
      </c>
      <c r="C14" s="26" t="s">
        <v>235</v>
      </c>
      <c r="D14" s="24"/>
      <c r="E14" s="24"/>
      <c r="F14" s="24"/>
      <c r="G14" s="24"/>
      <c r="H14" s="24"/>
      <c r="I14" s="24"/>
      <c r="J14" s="24"/>
      <c r="K14" s="25"/>
    </row>
    <row r="15" spans="2:11" ht="8" customHeight="1" thickBot="1" x14ac:dyDescent="0.35">
      <c r="B15" s="11"/>
      <c r="C15" s="12"/>
      <c r="D15" s="12"/>
      <c r="E15" s="12"/>
      <c r="F15" s="12"/>
      <c r="G15" s="12"/>
      <c r="H15" s="12"/>
      <c r="I15" s="12"/>
      <c r="J15" s="12"/>
      <c r="K15" s="13"/>
    </row>
    <row r="16" spans="2:11" ht="14" thickTop="1" x14ac:dyDescent="0.3"/>
    <row r="17" spans="2:11" ht="19.5" x14ac:dyDescent="0.35">
      <c r="B17" s="187" t="s">
        <v>22</v>
      </c>
      <c r="C17" s="188"/>
      <c r="D17" s="188"/>
      <c r="E17" s="188"/>
      <c r="F17" s="188"/>
      <c r="G17" s="188"/>
      <c r="H17" s="188"/>
      <c r="I17" s="188"/>
      <c r="J17" s="188"/>
      <c r="K17" s="189"/>
    </row>
    <row r="18" spans="2:11" x14ac:dyDescent="0.3">
      <c r="B18" s="190" t="s">
        <v>236</v>
      </c>
      <c r="C18" s="191"/>
      <c r="D18" s="191"/>
      <c r="E18" s="191"/>
      <c r="F18" s="191"/>
      <c r="G18" s="191"/>
      <c r="H18" s="191"/>
      <c r="I18" s="191"/>
      <c r="J18" s="191"/>
      <c r="K18" s="192"/>
    </row>
    <row r="19" spans="2:11" ht="14" thickBot="1" x14ac:dyDescent="0.35">
      <c r="B19" s="194"/>
      <c r="C19" s="195"/>
      <c r="D19" s="195"/>
      <c r="E19" s="195"/>
      <c r="F19" s="195"/>
      <c r="G19" s="195"/>
      <c r="H19" s="195"/>
      <c r="I19" s="195"/>
      <c r="J19" s="195"/>
      <c r="K19" s="196"/>
    </row>
    <row r="20" spans="2:11" ht="14" thickTop="1" x14ac:dyDescent="0.3"/>
    <row r="21" spans="2:11" ht="19.5" x14ac:dyDescent="0.35">
      <c r="B21" s="187" t="s">
        <v>23</v>
      </c>
      <c r="C21" s="188"/>
      <c r="D21" s="188"/>
      <c r="E21" s="188"/>
      <c r="F21" s="188"/>
      <c r="G21" s="188"/>
      <c r="H21" s="188"/>
      <c r="I21" s="188"/>
      <c r="J21" s="188"/>
      <c r="K21" s="189"/>
    </row>
    <row r="22" spans="2:11" ht="12.65" customHeight="1" x14ac:dyDescent="0.3">
      <c r="B22" s="197" t="s">
        <v>231</v>
      </c>
      <c r="C22" s="211"/>
      <c r="D22" s="211"/>
      <c r="E22" s="211"/>
      <c r="F22" s="211"/>
      <c r="G22" s="211"/>
      <c r="H22" s="211"/>
      <c r="I22" s="211"/>
      <c r="J22" s="211"/>
      <c r="K22" s="212"/>
    </row>
    <row r="23" spans="2:11" x14ac:dyDescent="0.3">
      <c r="B23" s="197"/>
      <c r="C23" s="211"/>
      <c r="D23" s="211"/>
      <c r="E23" s="211"/>
      <c r="F23" s="211"/>
      <c r="G23" s="211"/>
      <c r="H23" s="211"/>
      <c r="I23" s="211"/>
      <c r="J23" s="211"/>
      <c r="K23" s="212"/>
    </row>
    <row r="24" spans="2:11" x14ac:dyDescent="0.3">
      <c r="B24" s="197"/>
      <c r="C24" s="211"/>
      <c r="D24" s="211"/>
      <c r="E24" s="211"/>
      <c r="F24" s="211"/>
      <c r="G24" s="211"/>
      <c r="H24" s="211"/>
      <c r="I24" s="211"/>
      <c r="J24" s="211"/>
      <c r="K24" s="212"/>
    </row>
    <row r="25" spans="2:11" x14ac:dyDescent="0.3">
      <c r="B25" s="197"/>
      <c r="C25" s="211"/>
      <c r="D25" s="211"/>
      <c r="E25" s="211"/>
      <c r="F25" s="211"/>
      <c r="G25" s="211"/>
      <c r="H25" s="211"/>
      <c r="I25" s="211"/>
      <c r="J25" s="211"/>
      <c r="K25" s="212"/>
    </row>
    <row r="26" spans="2:11" x14ac:dyDescent="0.3">
      <c r="B26" s="197"/>
      <c r="C26" s="211"/>
      <c r="D26" s="211"/>
      <c r="E26" s="211"/>
      <c r="F26" s="211"/>
      <c r="G26" s="211"/>
      <c r="H26" s="211"/>
      <c r="I26" s="211"/>
      <c r="J26" s="211"/>
      <c r="K26" s="212"/>
    </row>
    <row r="27" spans="2:11" x14ac:dyDescent="0.3">
      <c r="B27" s="197"/>
      <c r="C27" s="211"/>
      <c r="D27" s="211"/>
      <c r="E27" s="211"/>
      <c r="F27" s="211"/>
      <c r="G27" s="211"/>
      <c r="H27" s="211"/>
      <c r="I27" s="211"/>
      <c r="J27" s="211"/>
      <c r="K27" s="212"/>
    </row>
    <row r="28" spans="2:11" x14ac:dyDescent="0.3">
      <c r="B28" s="197"/>
      <c r="C28" s="211"/>
      <c r="D28" s="211"/>
      <c r="E28" s="211"/>
      <c r="F28" s="211"/>
      <c r="G28" s="211"/>
      <c r="H28" s="211"/>
      <c r="I28" s="211"/>
      <c r="J28" s="211"/>
      <c r="K28" s="212"/>
    </row>
    <row r="29" spans="2:11" x14ac:dyDescent="0.3">
      <c r="B29" s="197"/>
      <c r="C29" s="211"/>
      <c r="D29" s="211"/>
      <c r="E29" s="211"/>
      <c r="F29" s="211"/>
      <c r="G29" s="211"/>
      <c r="H29" s="211"/>
      <c r="I29" s="211"/>
      <c r="J29" s="211"/>
      <c r="K29" s="212"/>
    </row>
    <row r="30" spans="2:11" x14ac:dyDescent="0.3">
      <c r="B30" s="197"/>
      <c r="C30" s="211"/>
      <c r="D30" s="211"/>
      <c r="E30" s="211"/>
      <c r="F30" s="211"/>
      <c r="G30" s="211"/>
      <c r="H30" s="211"/>
      <c r="I30" s="211"/>
      <c r="J30" s="211"/>
      <c r="K30" s="212"/>
    </row>
    <row r="31" spans="2:11" x14ac:dyDescent="0.3">
      <c r="B31" s="197"/>
      <c r="C31" s="211"/>
      <c r="D31" s="211"/>
      <c r="E31" s="211"/>
      <c r="F31" s="211"/>
      <c r="G31" s="211"/>
      <c r="H31" s="211"/>
      <c r="I31" s="211"/>
      <c r="J31" s="211"/>
      <c r="K31" s="212"/>
    </row>
    <row r="32" spans="2:11" x14ac:dyDescent="0.3">
      <c r="B32" s="197"/>
      <c r="C32" s="211"/>
      <c r="D32" s="211"/>
      <c r="E32" s="211"/>
      <c r="F32" s="211"/>
      <c r="G32" s="211"/>
      <c r="H32" s="211"/>
      <c r="I32" s="211"/>
      <c r="J32" s="211"/>
      <c r="K32" s="212"/>
    </row>
    <row r="33" spans="2:11" x14ac:dyDescent="0.3">
      <c r="B33" s="197"/>
      <c r="C33" s="211"/>
      <c r="D33" s="211"/>
      <c r="E33" s="211"/>
      <c r="F33" s="211"/>
      <c r="G33" s="211"/>
      <c r="H33" s="211"/>
      <c r="I33" s="211"/>
      <c r="J33" s="211"/>
      <c r="K33" s="212"/>
    </row>
    <row r="34" spans="2:11" x14ac:dyDescent="0.3">
      <c r="B34" s="197"/>
      <c r="C34" s="211"/>
      <c r="D34" s="211"/>
      <c r="E34" s="211"/>
      <c r="F34" s="211"/>
      <c r="G34" s="211"/>
      <c r="H34" s="211"/>
      <c r="I34" s="211"/>
      <c r="J34" s="211"/>
      <c r="K34" s="212"/>
    </row>
    <row r="35" spans="2:11" x14ac:dyDescent="0.3">
      <c r="B35" s="197" t="s">
        <v>229</v>
      </c>
      <c r="C35" s="211"/>
      <c r="D35" s="211"/>
      <c r="E35" s="211"/>
      <c r="F35" s="211"/>
      <c r="G35" s="211"/>
      <c r="H35" s="211"/>
      <c r="I35" s="211"/>
      <c r="J35" s="211"/>
      <c r="K35" s="212"/>
    </row>
    <row r="36" spans="2:11" x14ac:dyDescent="0.3">
      <c r="B36" s="197"/>
      <c r="C36" s="211"/>
      <c r="D36" s="211"/>
      <c r="E36" s="211"/>
      <c r="F36" s="211"/>
      <c r="G36" s="211"/>
      <c r="H36" s="211"/>
      <c r="I36" s="211"/>
      <c r="J36" s="211"/>
      <c r="K36" s="212"/>
    </row>
    <row r="37" spans="2:11" x14ac:dyDescent="0.3">
      <c r="B37" s="197"/>
      <c r="C37" s="211"/>
      <c r="D37" s="211"/>
      <c r="E37" s="211"/>
      <c r="F37" s="211"/>
      <c r="G37" s="211"/>
      <c r="H37" s="211"/>
      <c r="I37" s="211"/>
      <c r="J37" s="211"/>
      <c r="K37" s="212"/>
    </row>
    <row r="38" spans="2:11" x14ac:dyDescent="0.3">
      <c r="B38" s="197"/>
      <c r="C38" s="211"/>
      <c r="D38" s="211"/>
      <c r="E38" s="211"/>
      <c r="F38" s="211"/>
      <c r="G38" s="211"/>
      <c r="H38" s="211"/>
      <c r="I38" s="211"/>
      <c r="J38" s="211"/>
      <c r="K38" s="212"/>
    </row>
    <row r="39" spans="2:11" x14ac:dyDescent="0.3">
      <c r="B39" s="197"/>
      <c r="C39" s="211"/>
      <c r="D39" s="211"/>
      <c r="E39" s="211"/>
      <c r="F39" s="211"/>
      <c r="G39" s="211"/>
      <c r="H39" s="211"/>
      <c r="I39" s="211"/>
      <c r="J39" s="211"/>
      <c r="K39" s="212"/>
    </row>
    <row r="40" spans="2:11" x14ac:dyDescent="0.3">
      <c r="B40" s="197"/>
      <c r="C40" s="211"/>
      <c r="D40" s="211"/>
      <c r="E40" s="211"/>
      <c r="F40" s="211"/>
      <c r="G40" s="211"/>
      <c r="H40" s="211"/>
      <c r="I40" s="211"/>
      <c r="J40" s="211"/>
      <c r="K40" s="212"/>
    </row>
    <row r="41" spans="2:11" x14ac:dyDescent="0.3">
      <c r="B41" s="197"/>
      <c r="C41" s="211"/>
      <c r="D41" s="211"/>
      <c r="E41" s="211"/>
      <c r="F41" s="211"/>
      <c r="G41" s="211"/>
      <c r="H41" s="211"/>
      <c r="I41" s="211"/>
      <c r="J41" s="211"/>
      <c r="K41" s="212"/>
    </row>
    <row r="42" spans="2:11" x14ac:dyDescent="0.3">
      <c r="B42" s="197"/>
      <c r="C42" s="211"/>
      <c r="D42" s="211"/>
      <c r="E42" s="211"/>
      <c r="F42" s="211"/>
      <c r="G42" s="211"/>
      <c r="H42" s="211"/>
      <c r="I42" s="211"/>
      <c r="J42" s="211"/>
      <c r="K42" s="212"/>
    </row>
    <row r="43" spans="2:11" x14ac:dyDescent="0.3">
      <c r="B43" s="197"/>
      <c r="C43" s="211"/>
      <c r="D43" s="211"/>
      <c r="E43" s="211"/>
      <c r="F43" s="211"/>
      <c r="G43" s="211"/>
      <c r="H43" s="211"/>
      <c r="I43" s="211"/>
      <c r="J43" s="211"/>
      <c r="K43" s="212"/>
    </row>
    <row r="44" spans="2:11" x14ac:dyDescent="0.3">
      <c r="B44" s="197"/>
      <c r="C44" s="211"/>
      <c r="D44" s="211"/>
      <c r="E44" s="211"/>
      <c r="F44" s="211"/>
      <c r="G44" s="211"/>
      <c r="H44" s="211"/>
      <c r="I44" s="211"/>
      <c r="J44" s="211"/>
      <c r="K44" s="212"/>
    </row>
    <row r="45" spans="2:11" x14ac:dyDescent="0.3">
      <c r="B45" s="197"/>
      <c r="C45" s="211"/>
      <c r="D45" s="211"/>
      <c r="E45" s="211"/>
      <c r="F45" s="211"/>
      <c r="G45" s="211"/>
      <c r="H45" s="211"/>
      <c r="I45" s="211"/>
      <c r="J45" s="211"/>
      <c r="K45" s="212"/>
    </row>
    <row r="46" spans="2:11" x14ac:dyDescent="0.3">
      <c r="B46" s="197"/>
      <c r="C46" s="211"/>
      <c r="D46" s="211"/>
      <c r="E46" s="211"/>
      <c r="F46" s="211"/>
      <c r="G46" s="211"/>
      <c r="H46" s="211"/>
      <c r="I46" s="211"/>
      <c r="J46" s="211"/>
      <c r="K46" s="212"/>
    </row>
    <row r="47" spans="2:11" x14ac:dyDescent="0.3">
      <c r="B47" s="197"/>
      <c r="C47" s="211"/>
      <c r="D47" s="211"/>
      <c r="E47" s="211"/>
      <c r="F47" s="211"/>
      <c r="G47" s="211"/>
      <c r="H47" s="211"/>
      <c r="I47" s="211"/>
      <c r="J47" s="211"/>
      <c r="K47" s="212"/>
    </row>
    <row r="48" spans="2:11" x14ac:dyDescent="0.3">
      <c r="B48" s="197"/>
      <c r="C48" s="211"/>
      <c r="D48" s="211"/>
      <c r="E48" s="211"/>
      <c r="F48" s="211"/>
      <c r="G48" s="211"/>
      <c r="H48" s="211"/>
      <c r="I48" s="211"/>
      <c r="J48" s="211"/>
      <c r="K48" s="212"/>
    </row>
    <row r="49" spans="2:11" x14ac:dyDescent="0.3">
      <c r="B49" s="197"/>
      <c r="C49" s="211"/>
      <c r="D49" s="211"/>
      <c r="E49" s="211"/>
      <c r="F49" s="211"/>
      <c r="G49" s="211"/>
      <c r="H49" s="211"/>
      <c r="I49" s="211"/>
      <c r="J49" s="211"/>
      <c r="K49" s="212"/>
    </row>
    <row r="50" spans="2:11" ht="14" thickBot="1" x14ac:dyDescent="0.35">
      <c r="B50" s="213"/>
      <c r="C50" s="214"/>
      <c r="D50" s="214"/>
      <c r="E50" s="214"/>
      <c r="F50" s="214"/>
      <c r="G50" s="214"/>
      <c r="H50" s="214"/>
      <c r="I50" s="214"/>
      <c r="J50" s="214"/>
      <c r="K50" s="215"/>
    </row>
    <row r="51" spans="2:11" ht="14" thickTop="1" x14ac:dyDescent="0.3"/>
    <row r="52" spans="2:11" ht="19.75" customHeight="1" x14ac:dyDescent="0.35">
      <c r="B52" s="216" t="s">
        <v>24</v>
      </c>
      <c r="C52" s="216"/>
      <c r="D52" s="216"/>
      <c r="E52" s="216"/>
      <c r="F52" s="216"/>
      <c r="G52" s="216"/>
      <c r="H52" s="216"/>
      <c r="I52" s="216"/>
      <c r="J52" s="216"/>
      <c r="K52" s="217"/>
    </row>
    <row r="53" spans="2:11" x14ac:dyDescent="0.3">
      <c r="B53" s="190" t="s">
        <v>224</v>
      </c>
      <c r="C53" s="191"/>
      <c r="D53" s="191"/>
      <c r="E53" s="191"/>
      <c r="F53" s="191"/>
      <c r="G53" s="191"/>
      <c r="H53" s="191"/>
      <c r="I53" s="191"/>
      <c r="J53" s="191"/>
      <c r="K53" s="192"/>
    </row>
    <row r="54" spans="2:11" x14ac:dyDescent="0.3">
      <c r="B54" s="193"/>
      <c r="C54" s="191"/>
      <c r="D54" s="191"/>
      <c r="E54" s="191"/>
      <c r="F54" s="191"/>
      <c r="G54" s="191"/>
      <c r="H54" s="191"/>
      <c r="I54" s="191"/>
      <c r="J54" s="191"/>
      <c r="K54" s="192"/>
    </row>
    <row r="55" spans="2:11" x14ac:dyDescent="0.3">
      <c r="B55" s="193"/>
      <c r="C55" s="191"/>
      <c r="D55" s="191"/>
      <c r="E55" s="191"/>
      <c r="F55" s="191"/>
      <c r="G55" s="191"/>
      <c r="H55" s="191"/>
      <c r="I55" s="191"/>
      <c r="J55" s="191"/>
      <c r="K55" s="192"/>
    </row>
    <row r="56" spans="2:11" x14ac:dyDescent="0.3">
      <c r="B56" s="193"/>
      <c r="C56" s="191"/>
      <c r="D56" s="191"/>
      <c r="E56" s="191"/>
      <c r="F56" s="191"/>
      <c r="G56" s="191"/>
      <c r="H56" s="191"/>
      <c r="I56" s="191"/>
      <c r="J56" s="191"/>
      <c r="K56" s="192"/>
    </row>
    <row r="57" spans="2:11" x14ac:dyDescent="0.3">
      <c r="B57" s="193"/>
      <c r="C57" s="191"/>
      <c r="D57" s="191"/>
      <c r="E57" s="191"/>
      <c r="F57" s="191"/>
      <c r="G57" s="191"/>
      <c r="H57" s="191"/>
      <c r="I57" s="191"/>
      <c r="J57" s="191"/>
      <c r="K57" s="192"/>
    </row>
    <row r="58" spans="2:11" x14ac:dyDescent="0.3">
      <c r="B58" s="193"/>
      <c r="C58" s="191"/>
      <c r="D58" s="191"/>
      <c r="E58" s="191"/>
      <c r="F58" s="191"/>
      <c r="G58" s="191"/>
      <c r="H58" s="191"/>
      <c r="I58" s="191"/>
      <c r="J58" s="191"/>
      <c r="K58" s="192"/>
    </row>
    <row r="59" spans="2:11" x14ac:dyDescent="0.3">
      <c r="B59" s="193"/>
      <c r="C59" s="191"/>
      <c r="D59" s="191"/>
      <c r="E59" s="191"/>
      <c r="F59" s="191"/>
      <c r="G59" s="191"/>
      <c r="H59" s="191"/>
      <c r="I59" s="191"/>
      <c r="J59" s="191"/>
      <c r="K59" s="192"/>
    </row>
    <row r="60" spans="2:11" x14ac:dyDescent="0.3">
      <c r="B60" s="193"/>
      <c r="C60" s="191"/>
      <c r="D60" s="191"/>
      <c r="E60" s="191"/>
      <c r="F60" s="191"/>
      <c r="G60" s="191"/>
      <c r="H60" s="191"/>
      <c r="I60" s="191"/>
      <c r="J60" s="191"/>
      <c r="K60" s="192"/>
    </row>
    <row r="61" spans="2:11" x14ac:dyDescent="0.3">
      <c r="B61" s="193"/>
      <c r="C61" s="191"/>
      <c r="D61" s="191"/>
      <c r="E61" s="191"/>
      <c r="F61" s="191"/>
      <c r="G61" s="191"/>
      <c r="H61" s="191"/>
      <c r="I61" s="191"/>
      <c r="J61" s="191"/>
      <c r="K61" s="192"/>
    </row>
    <row r="62" spans="2:11" x14ac:dyDescent="0.3">
      <c r="B62" s="193"/>
      <c r="C62" s="191"/>
      <c r="D62" s="191"/>
      <c r="E62" s="191"/>
      <c r="F62" s="191"/>
      <c r="G62" s="191"/>
      <c r="H62" s="191"/>
      <c r="I62" s="191"/>
      <c r="J62" s="191"/>
      <c r="K62" s="192"/>
    </row>
    <row r="63" spans="2:11" x14ac:dyDescent="0.3">
      <c r="B63" s="193"/>
      <c r="C63" s="191"/>
      <c r="D63" s="191"/>
      <c r="E63" s="191"/>
      <c r="F63" s="191"/>
      <c r="G63" s="191"/>
      <c r="H63" s="191"/>
      <c r="I63" s="191"/>
      <c r="J63" s="191"/>
      <c r="K63" s="192"/>
    </row>
    <row r="64" spans="2:11" ht="14" thickBot="1" x14ac:dyDescent="0.35">
      <c r="B64" s="194"/>
      <c r="C64" s="195"/>
      <c r="D64" s="195"/>
      <c r="E64" s="195"/>
      <c r="F64" s="195"/>
      <c r="G64" s="195"/>
      <c r="H64" s="195"/>
      <c r="I64" s="195"/>
      <c r="J64" s="195"/>
      <c r="K64" s="196"/>
    </row>
    <row r="65" spans="2:14" ht="14" thickTop="1" x14ac:dyDescent="0.3"/>
    <row r="66" spans="2:14" ht="19.5" x14ac:dyDescent="0.35">
      <c r="B66" s="187" t="s">
        <v>25</v>
      </c>
      <c r="C66" s="188"/>
      <c r="D66" s="188"/>
      <c r="E66" s="188"/>
      <c r="F66" s="188"/>
      <c r="G66" s="188"/>
      <c r="H66" s="188"/>
      <c r="I66" s="188"/>
      <c r="J66" s="188"/>
      <c r="K66" s="189"/>
    </row>
    <row r="67" spans="2:14" ht="13.75" customHeight="1" x14ac:dyDescent="0.3">
      <c r="B67" s="197" t="s">
        <v>232</v>
      </c>
      <c r="C67" s="198"/>
      <c r="D67" s="198"/>
      <c r="E67" s="198"/>
      <c r="F67" s="198"/>
      <c r="G67" s="198"/>
      <c r="H67" s="198"/>
      <c r="I67" s="198"/>
      <c r="J67" s="198"/>
      <c r="K67" s="199"/>
      <c r="L67" s="29"/>
      <c r="M67" s="30"/>
      <c r="N67" s="30"/>
    </row>
    <row r="68" spans="2:14" ht="13.25" customHeight="1" x14ac:dyDescent="0.3">
      <c r="B68" s="190"/>
      <c r="C68" s="198"/>
      <c r="D68" s="198"/>
      <c r="E68" s="198"/>
      <c r="F68" s="198"/>
      <c r="G68" s="198"/>
      <c r="H68" s="198"/>
      <c r="I68" s="198"/>
      <c r="J68" s="198"/>
      <c r="K68" s="199"/>
      <c r="L68" s="29"/>
      <c r="M68" s="30"/>
      <c r="N68" s="30"/>
    </row>
    <row r="69" spans="2:14" x14ac:dyDescent="0.3">
      <c r="B69" s="190"/>
      <c r="C69" s="198"/>
      <c r="D69" s="198"/>
      <c r="E69" s="198"/>
      <c r="F69" s="198"/>
      <c r="G69" s="198"/>
      <c r="H69" s="198"/>
      <c r="I69" s="198"/>
      <c r="J69" s="198"/>
      <c r="K69" s="199"/>
      <c r="L69" s="29"/>
      <c r="M69" s="30"/>
      <c r="N69" s="30"/>
    </row>
    <row r="70" spans="2:14" x14ac:dyDescent="0.3">
      <c r="B70" s="190"/>
      <c r="C70" s="198"/>
      <c r="D70" s="198"/>
      <c r="E70" s="198"/>
      <c r="F70" s="198"/>
      <c r="G70" s="198"/>
      <c r="H70" s="198"/>
      <c r="I70" s="198"/>
      <c r="J70" s="198"/>
      <c r="K70" s="199"/>
      <c r="L70" s="29"/>
      <c r="M70" s="30"/>
      <c r="N70" s="30"/>
    </row>
    <row r="71" spans="2:14" x14ac:dyDescent="0.3">
      <c r="B71" s="190"/>
      <c r="C71" s="198"/>
      <c r="D71" s="198"/>
      <c r="E71" s="198"/>
      <c r="F71" s="198"/>
      <c r="G71" s="198"/>
      <c r="H71" s="198"/>
      <c r="I71" s="198"/>
      <c r="J71" s="198"/>
      <c r="K71" s="199"/>
      <c r="L71" s="29"/>
      <c r="M71" s="30"/>
      <c r="N71" s="30"/>
    </row>
    <row r="72" spans="2:14" x14ac:dyDescent="0.3">
      <c r="B72" s="190"/>
      <c r="C72" s="198"/>
      <c r="D72" s="198"/>
      <c r="E72" s="198"/>
      <c r="F72" s="198"/>
      <c r="G72" s="198"/>
      <c r="H72" s="198"/>
      <c r="I72" s="198"/>
      <c r="J72" s="198"/>
      <c r="K72" s="199"/>
      <c r="L72" s="29"/>
      <c r="M72" s="30"/>
      <c r="N72" s="30"/>
    </row>
    <row r="73" spans="2:14" x14ac:dyDescent="0.3">
      <c r="B73" s="190"/>
      <c r="C73" s="198"/>
      <c r="D73" s="198"/>
      <c r="E73" s="198"/>
      <c r="F73" s="198"/>
      <c r="G73" s="198"/>
      <c r="H73" s="198"/>
      <c r="I73" s="198"/>
      <c r="J73" s="198"/>
      <c r="K73" s="199"/>
      <c r="L73" s="29"/>
      <c r="M73" s="30"/>
      <c r="N73" s="30"/>
    </row>
    <row r="74" spans="2:14" x14ac:dyDescent="0.3">
      <c r="B74" s="190"/>
      <c r="C74" s="198"/>
      <c r="D74" s="198"/>
      <c r="E74" s="198"/>
      <c r="F74" s="198"/>
      <c r="G74" s="198"/>
      <c r="H74" s="198"/>
      <c r="I74" s="198"/>
      <c r="J74" s="198"/>
      <c r="K74" s="199"/>
      <c r="L74" s="29"/>
      <c r="M74" s="30"/>
      <c r="N74" s="30"/>
    </row>
    <row r="75" spans="2:14" x14ac:dyDescent="0.3">
      <c r="B75" s="190"/>
      <c r="C75" s="198"/>
      <c r="D75" s="198"/>
      <c r="E75" s="198"/>
      <c r="F75" s="198"/>
      <c r="G75" s="198"/>
      <c r="H75" s="198"/>
      <c r="I75" s="198"/>
      <c r="J75" s="198"/>
      <c r="K75" s="199"/>
    </row>
    <row r="76" spans="2:14" x14ac:dyDescent="0.3">
      <c r="B76" s="190"/>
      <c r="C76" s="198"/>
      <c r="D76" s="198"/>
      <c r="E76" s="198"/>
      <c r="F76" s="198"/>
      <c r="G76" s="198"/>
      <c r="H76" s="198"/>
      <c r="I76" s="198"/>
      <c r="J76" s="198"/>
      <c r="K76" s="199"/>
    </row>
    <row r="77" spans="2:14" x14ac:dyDescent="0.3">
      <c r="B77" s="190"/>
      <c r="C77" s="198"/>
      <c r="D77" s="198"/>
      <c r="E77" s="198"/>
      <c r="F77" s="198"/>
      <c r="G77" s="198"/>
      <c r="H77" s="198"/>
      <c r="I77" s="198"/>
      <c r="J77" s="198"/>
      <c r="K77" s="199"/>
    </row>
    <row r="78" spans="2:14" x14ac:dyDescent="0.3">
      <c r="B78" s="190"/>
      <c r="C78" s="198"/>
      <c r="D78" s="198"/>
      <c r="E78" s="198"/>
      <c r="F78" s="198"/>
      <c r="G78" s="198"/>
      <c r="H78" s="198"/>
      <c r="I78" s="198"/>
      <c r="J78" s="198"/>
      <c r="K78" s="199"/>
    </row>
    <row r="79" spans="2:14" x14ac:dyDescent="0.3">
      <c r="B79" s="190"/>
      <c r="C79" s="198"/>
      <c r="D79" s="198"/>
      <c r="E79" s="198"/>
      <c r="F79" s="198"/>
      <c r="G79" s="198"/>
      <c r="H79" s="198"/>
      <c r="I79" s="198"/>
      <c r="J79" s="198"/>
      <c r="K79" s="199"/>
    </row>
    <row r="80" spans="2:14" x14ac:dyDescent="0.3">
      <c r="B80" s="190"/>
      <c r="C80" s="198"/>
      <c r="D80" s="198"/>
      <c r="E80" s="198"/>
      <c r="F80" s="198"/>
      <c r="G80" s="198"/>
      <c r="H80" s="198"/>
      <c r="I80" s="198"/>
      <c r="J80" s="198"/>
      <c r="K80" s="199"/>
    </row>
    <row r="81" spans="2:12" x14ac:dyDescent="0.3">
      <c r="B81" s="190"/>
      <c r="C81" s="198"/>
      <c r="D81" s="198"/>
      <c r="E81" s="198"/>
      <c r="F81" s="198"/>
      <c r="G81" s="198"/>
      <c r="H81" s="198"/>
      <c r="I81" s="198"/>
      <c r="J81" s="198"/>
      <c r="K81" s="199"/>
    </row>
    <row r="82" spans="2:12" x14ac:dyDescent="0.3">
      <c r="B82" s="190"/>
      <c r="C82" s="198"/>
      <c r="D82" s="198"/>
      <c r="E82" s="198"/>
      <c r="F82" s="198"/>
      <c r="G82" s="198"/>
      <c r="H82" s="198"/>
      <c r="I82" s="198"/>
      <c r="J82" s="198"/>
      <c r="K82" s="199"/>
    </row>
    <row r="83" spans="2:12" x14ac:dyDescent="0.3">
      <c r="B83" s="190"/>
      <c r="C83" s="198"/>
      <c r="D83" s="198"/>
      <c r="E83" s="198"/>
      <c r="F83" s="198"/>
      <c r="G83" s="198"/>
      <c r="H83" s="198"/>
      <c r="I83" s="198"/>
      <c r="J83" s="198"/>
      <c r="K83" s="199"/>
    </row>
    <row r="84" spans="2:12" x14ac:dyDescent="0.3">
      <c r="B84" s="190"/>
      <c r="C84" s="198"/>
      <c r="D84" s="198"/>
      <c r="E84" s="198"/>
      <c r="F84" s="198"/>
      <c r="G84" s="198"/>
      <c r="H84" s="198"/>
      <c r="I84" s="198"/>
      <c r="J84" s="198"/>
      <c r="K84" s="199"/>
    </row>
    <row r="85" spans="2:12" x14ac:dyDescent="0.3">
      <c r="B85" s="190"/>
      <c r="C85" s="198"/>
      <c r="D85" s="198"/>
      <c r="E85" s="198"/>
      <c r="F85" s="198"/>
      <c r="G85" s="198"/>
      <c r="H85" s="198"/>
      <c r="I85" s="198"/>
      <c r="J85" s="198"/>
      <c r="K85" s="199"/>
    </row>
    <row r="86" spans="2:12" x14ac:dyDescent="0.3">
      <c r="B86" s="190"/>
      <c r="C86" s="198"/>
      <c r="D86" s="198"/>
      <c r="E86" s="198"/>
      <c r="F86" s="198"/>
      <c r="G86" s="198"/>
      <c r="H86" s="198"/>
      <c r="I86" s="198"/>
      <c r="J86" s="198"/>
      <c r="K86" s="199"/>
    </row>
    <row r="87" spans="2:12" x14ac:dyDescent="0.3">
      <c r="B87" s="190"/>
      <c r="C87" s="198"/>
      <c r="D87" s="198"/>
      <c r="E87" s="198"/>
      <c r="F87" s="198"/>
      <c r="G87" s="198"/>
      <c r="H87" s="198"/>
      <c r="I87" s="198"/>
      <c r="J87" s="198"/>
      <c r="K87" s="199"/>
    </row>
    <row r="88" spans="2:12" x14ac:dyDescent="0.3">
      <c r="B88" s="190"/>
      <c r="C88" s="198"/>
      <c r="D88" s="198"/>
      <c r="E88" s="198"/>
      <c r="F88" s="198"/>
      <c r="G88" s="198"/>
      <c r="H88" s="198"/>
      <c r="I88" s="198"/>
      <c r="J88" s="198"/>
      <c r="K88" s="199"/>
    </row>
    <row r="89" spans="2:12" x14ac:dyDescent="0.3">
      <c r="B89" s="190"/>
      <c r="C89" s="198"/>
      <c r="D89" s="198"/>
      <c r="E89" s="198"/>
      <c r="F89" s="198"/>
      <c r="G89" s="198"/>
      <c r="H89" s="198"/>
      <c r="I89" s="198"/>
      <c r="J89" s="198"/>
      <c r="K89" s="199"/>
    </row>
    <row r="90" spans="2:12" x14ac:dyDescent="0.3">
      <c r="B90" s="190"/>
      <c r="C90" s="198"/>
      <c r="D90" s="198"/>
      <c r="E90" s="198"/>
      <c r="F90" s="198"/>
      <c r="G90" s="198"/>
      <c r="H90" s="198"/>
      <c r="I90" s="198"/>
      <c r="J90" s="198"/>
      <c r="K90" s="199"/>
    </row>
    <row r="91" spans="2:12" x14ac:dyDescent="0.3">
      <c r="B91" s="190"/>
      <c r="C91" s="198"/>
      <c r="D91" s="198"/>
      <c r="E91" s="198"/>
      <c r="F91" s="198"/>
      <c r="G91" s="198"/>
      <c r="H91" s="198"/>
      <c r="I91" s="198"/>
      <c r="J91" s="198"/>
      <c r="K91" s="199"/>
    </row>
    <row r="92" spans="2:12" ht="14" thickBot="1" x14ac:dyDescent="0.35">
      <c r="B92" s="200"/>
      <c r="C92" s="201"/>
      <c r="D92" s="201"/>
      <c r="E92" s="201"/>
      <c r="F92" s="201"/>
      <c r="G92" s="201"/>
      <c r="H92" s="201"/>
      <c r="I92" s="201"/>
      <c r="J92" s="201"/>
      <c r="K92" s="202"/>
    </row>
    <row r="93" spans="2:12" ht="14" thickTop="1" x14ac:dyDescent="0.3"/>
    <row r="94" spans="2:12" ht="19.5" x14ac:dyDescent="0.35">
      <c r="B94" s="187" t="s">
        <v>26</v>
      </c>
      <c r="C94" s="188"/>
      <c r="D94" s="188"/>
      <c r="E94" s="188"/>
      <c r="F94" s="188"/>
      <c r="G94" s="188"/>
      <c r="H94" s="188"/>
      <c r="I94" s="188"/>
      <c r="J94" s="188"/>
      <c r="K94" s="189"/>
    </row>
    <row r="95" spans="2:12" x14ac:dyDescent="0.3">
      <c r="B95" s="203" t="s">
        <v>27</v>
      </c>
      <c r="C95" s="204"/>
      <c r="D95" s="204"/>
      <c r="E95" s="204"/>
      <c r="F95" s="204"/>
      <c r="G95" s="204"/>
      <c r="H95" s="204"/>
      <c r="I95" s="204"/>
      <c r="J95" s="204"/>
      <c r="K95" s="205"/>
      <c r="L95" s="28"/>
    </row>
    <row r="96" spans="2:12" x14ac:dyDescent="0.3">
      <c r="B96" s="206"/>
      <c r="C96" s="204"/>
      <c r="D96" s="204"/>
      <c r="E96" s="204"/>
      <c r="F96" s="204"/>
      <c r="G96" s="204"/>
      <c r="H96" s="204"/>
      <c r="I96" s="204"/>
      <c r="J96" s="204"/>
      <c r="K96" s="205"/>
    </row>
    <row r="97" spans="2:11" x14ac:dyDescent="0.3">
      <c r="B97" s="206"/>
      <c r="C97" s="204"/>
      <c r="D97" s="204"/>
      <c r="E97" s="204"/>
      <c r="F97" s="204"/>
      <c r="G97" s="204"/>
      <c r="H97" s="204"/>
      <c r="I97" s="204"/>
      <c r="J97" s="204"/>
      <c r="K97" s="205"/>
    </row>
    <row r="98" spans="2:11" x14ac:dyDescent="0.3">
      <c r="B98" s="206"/>
      <c r="C98" s="204"/>
      <c r="D98" s="204"/>
      <c r="E98" s="204"/>
      <c r="F98" s="204"/>
      <c r="G98" s="204"/>
      <c r="H98" s="204"/>
      <c r="I98" s="204"/>
      <c r="J98" s="204"/>
      <c r="K98" s="205"/>
    </row>
    <row r="99" spans="2:11" x14ac:dyDescent="0.3">
      <c r="B99" s="206"/>
      <c r="C99" s="204"/>
      <c r="D99" s="204"/>
      <c r="E99" s="204"/>
      <c r="F99" s="204"/>
      <c r="G99" s="204"/>
      <c r="H99" s="204"/>
      <c r="I99" s="204"/>
      <c r="J99" s="204"/>
      <c r="K99" s="205"/>
    </row>
    <row r="100" spans="2:11" x14ac:dyDescent="0.3">
      <c r="B100" s="206"/>
      <c r="C100" s="204"/>
      <c r="D100" s="204"/>
      <c r="E100" s="204"/>
      <c r="F100" s="204"/>
      <c r="G100" s="204"/>
      <c r="H100" s="204"/>
      <c r="I100" s="204"/>
      <c r="J100" s="204"/>
      <c r="K100" s="205"/>
    </row>
    <row r="101" spans="2:11" x14ac:dyDescent="0.3">
      <c r="B101" s="206"/>
      <c r="C101" s="204"/>
      <c r="D101" s="204"/>
      <c r="E101" s="204"/>
      <c r="F101" s="204"/>
      <c r="G101" s="204"/>
      <c r="H101" s="204"/>
      <c r="I101" s="204"/>
      <c r="J101" s="204"/>
      <c r="K101" s="205"/>
    </row>
    <row r="102" spans="2:11" x14ac:dyDescent="0.3">
      <c r="B102" s="206"/>
      <c r="C102" s="204"/>
      <c r="D102" s="204"/>
      <c r="E102" s="204"/>
      <c r="F102" s="204"/>
      <c r="G102" s="204"/>
      <c r="H102" s="204"/>
      <c r="I102" s="204"/>
      <c r="J102" s="204"/>
      <c r="K102" s="205"/>
    </row>
    <row r="103" spans="2:11" x14ac:dyDescent="0.3">
      <c r="B103" s="206"/>
      <c r="C103" s="204"/>
      <c r="D103" s="204"/>
      <c r="E103" s="204"/>
      <c r="F103" s="204"/>
      <c r="G103" s="204"/>
      <c r="H103" s="204"/>
      <c r="I103" s="204"/>
      <c r="J103" s="204"/>
      <c r="K103" s="205"/>
    </row>
    <row r="104" spans="2:11" ht="14" thickBot="1" x14ac:dyDescent="0.35">
      <c r="B104" s="207"/>
      <c r="C104" s="208"/>
      <c r="D104" s="208"/>
      <c r="E104" s="208"/>
      <c r="F104" s="208"/>
      <c r="G104" s="208"/>
      <c r="H104" s="208"/>
      <c r="I104" s="208"/>
      <c r="J104" s="208"/>
      <c r="K104" s="209"/>
    </row>
    <row r="105" spans="2:11" ht="14" thickTop="1" x14ac:dyDescent="0.3"/>
  </sheetData>
  <mergeCells count="13">
    <mergeCell ref="B1:K2"/>
    <mergeCell ref="B22:K34"/>
    <mergeCell ref="B35:K50"/>
    <mergeCell ref="B52:K52"/>
    <mergeCell ref="B4:K4"/>
    <mergeCell ref="B17:K17"/>
    <mergeCell ref="B18:K19"/>
    <mergeCell ref="B21:K21"/>
    <mergeCell ref="B66:K66"/>
    <mergeCell ref="B94:K94"/>
    <mergeCell ref="B53:K64"/>
    <mergeCell ref="B67:K92"/>
    <mergeCell ref="B95:K104"/>
  </mergeCells>
  <phoneticPr fontId="2" type="noConversion"/>
  <printOptions horizontalCentered="1" verticalCentered="1"/>
  <pageMargins left="0.70866141732283472" right="0.70866141732283472" top="0.74803149606299213" bottom="0.74803149606299213" header="0.31496062992125984" footer="0.31496062992125984"/>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B75E4-94F0-4BE3-B4E5-3F6C2B21332B}">
  <sheetPr codeName="Feuil2">
    <pageSetUpPr fitToPage="1"/>
  </sheetPr>
  <dimension ref="B1:K42"/>
  <sheetViews>
    <sheetView showGridLines="0" topLeftCell="A19" zoomScale="80" zoomScaleNormal="80" workbookViewId="0">
      <selection activeCell="B20" sqref="B20:K34"/>
    </sheetView>
  </sheetViews>
  <sheetFormatPr baseColWidth="10" defaultRowHeight="13.5" x14ac:dyDescent="0.3"/>
  <cols>
    <col min="1" max="1" width="3.23046875" customWidth="1"/>
    <col min="2" max="2" width="23" bestFit="1" customWidth="1"/>
    <col min="3" max="3" width="9.921875" bestFit="1" customWidth="1"/>
    <col min="4" max="4" width="14.3828125" bestFit="1" customWidth="1"/>
    <col min="5" max="5" width="15.3828125" customWidth="1"/>
    <col min="6" max="6" width="35.4609375" customWidth="1"/>
    <col min="7" max="7" width="14.921875" bestFit="1" customWidth="1"/>
    <col min="8" max="8" width="10.921875" bestFit="1" customWidth="1"/>
    <col min="9" max="9" width="11.4609375" bestFit="1" customWidth="1"/>
    <col min="10" max="10" width="14" bestFit="1" customWidth="1"/>
  </cols>
  <sheetData>
    <row r="1" spans="2:11" ht="20" thickBot="1" x14ac:dyDescent="0.4">
      <c r="B1" s="240" t="s">
        <v>78</v>
      </c>
      <c r="C1" s="241"/>
      <c r="D1" s="241"/>
      <c r="E1" s="241"/>
      <c r="F1" s="241"/>
      <c r="G1" s="241"/>
      <c r="H1" s="241"/>
      <c r="I1" s="241"/>
      <c r="J1" s="241"/>
      <c r="K1" s="242"/>
    </row>
    <row r="2" spans="2:11" ht="14" thickTop="1" x14ac:dyDescent="0.3">
      <c r="B2" s="6"/>
      <c r="C2" s="6"/>
      <c r="D2" s="6"/>
      <c r="E2" s="6"/>
      <c r="F2" s="6"/>
      <c r="G2" s="6"/>
      <c r="H2" s="6"/>
      <c r="I2" s="6"/>
      <c r="J2" s="6"/>
    </row>
    <row r="3" spans="2:11" ht="14" thickBot="1" x14ac:dyDescent="0.35">
      <c r="B3" s="243" t="s">
        <v>35</v>
      </c>
      <c r="C3" s="244"/>
      <c r="D3" s="244"/>
      <c r="E3" s="244"/>
      <c r="F3" s="244"/>
      <c r="G3" s="244"/>
      <c r="H3" s="244"/>
      <c r="I3" s="244"/>
      <c r="J3" s="244"/>
      <c r="K3" s="245"/>
    </row>
    <row r="4" spans="2:11" ht="14" thickTop="1" x14ac:dyDescent="0.3"/>
    <row r="5" spans="2:11" ht="40.5" x14ac:dyDescent="0.3">
      <c r="B5" s="33" t="s">
        <v>37</v>
      </c>
      <c r="C5" s="186" t="s">
        <v>238</v>
      </c>
      <c r="D5" s="186" t="s">
        <v>237</v>
      </c>
      <c r="E5" s="34"/>
      <c r="F5" s="219" t="s">
        <v>36</v>
      </c>
      <c r="G5" s="220"/>
      <c r="H5" s="220"/>
      <c r="I5" s="220"/>
      <c r="J5" s="220"/>
      <c r="K5" s="221"/>
    </row>
    <row r="6" spans="2:11" ht="12.65" customHeight="1" x14ac:dyDescent="0.3">
      <c r="B6" s="32" t="s">
        <v>28</v>
      </c>
      <c r="C6" s="32">
        <v>100</v>
      </c>
      <c r="D6" s="32">
        <v>2</v>
      </c>
      <c r="E6" s="34"/>
      <c r="F6" s="190"/>
      <c r="G6" s="198"/>
      <c r="H6" s="198"/>
      <c r="I6" s="198"/>
      <c r="J6" s="198"/>
      <c r="K6" s="199"/>
    </row>
    <row r="7" spans="2:11" x14ac:dyDescent="0.3">
      <c r="B7" s="32" t="s">
        <v>29</v>
      </c>
      <c r="C7" s="32">
        <v>150</v>
      </c>
      <c r="D7" s="32">
        <v>3</v>
      </c>
      <c r="E7" s="34"/>
      <c r="F7" s="190"/>
      <c r="G7" s="198"/>
      <c r="H7" s="198"/>
      <c r="I7" s="198"/>
      <c r="J7" s="198"/>
      <c r="K7" s="199"/>
    </row>
    <row r="8" spans="2:11" x14ac:dyDescent="0.3">
      <c r="B8" s="32" t="s">
        <v>30</v>
      </c>
      <c r="C8" s="32">
        <v>100</v>
      </c>
      <c r="D8" s="32">
        <v>2</v>
      </c>
      <c r="E8" s="34"/>
      <c r="F8" s="190"/>
      <c r="G8" s="198"/>
      <c r="H8" s="198"/>
      <c r="I8" s="198"/>
      <c r="J8" s="198"/>
      <c r="K8" s="199"/>
    </row>
    <row r="9" spans="2:11" x14ac:dyDescent="0.3">
      <c r="B9" s="32" t="s">
        <v>31</v>
      </c>
      <c r="C9" s="32">
        <v>100</v>
      </c>
      <c r="D9" s="32">
        <v>2</v>
      </c>
      <c r="E9" s="34"/>
      <c r="F9" s="190"/>
      <c r="G9" s="198"/>
      <c r="H9" s="198"/>
      <c r="I9" s="198"/>
      <c r="J9" s="198"/>
      <c r="K9" s="199"/>
    </row>
    <row r="10" spans="2:11" x14ac:dyDescent="0.3">
      <c r="B10" s="32" t="s">
        <v>32</v>
      </c>
      <c r="C10" s="32">
        <v>100</v>
      </c>
      <c r="D10" s="32">
        <v>2</v>
      </c>
      <c r="E10" s="34"/>
      <c r="F10" s="190"/>
      <c r="G10" s="198"/>
      <c r="H10" s="198"/>
      <c r="I10" s="198"/>
      <c r="J10" s="198"/>
      <c r="K10" s="199"/>
    </row>
    <row r="11" spans="2:11" x14ac:dyDescent="0.3">
      <c r="B11" s="32" t="s">
        <v>33</v>
      </c>
      <c r="C11" s="32">
        <v>50</v>
      </c>
      <c r="D11" s="32">
        <v>1</v>
      </c>
      <c r="E11" s="34"/>
      <c r="F11" s="190"/>
      <c r="G11" s="198"/>
      <c r="H11" s="198"/>
      <c r="I11" s="198"/>
      <c r="J11" s="198"/>
      <c r="K11" s="199"/>
    </row>
    <row r="12" spans="2:11" ht="14" thickBot="1" x14ac:dyDescent="0.35">
      <c r="B12" s="32" t="s">
        <v>34</v>
      </c>
      <c r="C12" s="32">
        <v>50</v>
      </c>
      <c r="D12" s="32">
        <v>1</v>
      </c>
      <c r="E12" s="34"/>
      <c r="F12" s="200"/>
      <c r="G12" s="201"/>
      <c r="H12" s="201"/>
      <c r="I12" s="201"/>
      <c r="J12" s="201"/>
      <c r="K12" s="202"/>
    </row>
    <row r="13" spans="2:11" ht="14" thickTop="1" x14ac:dyDescent="0.3"/>
    <row r="15" spans="2:11" x14ac:dyDescent="0.3">
      <c r="B15" s="248" t="s">
        <v>37</v>
      </c>
      <c r="C15" s="225" t="s">
        <v>38</v>
      </c>
      <c r="D15" s="225" t="s">
        <v>116</v>
      </c>
      <c r="E15" s="225"/>
      <c r="F15" s="225"/>
      <c r="G15" s="225" t="s">
        <v>39</v>
      </c>
      <c r="H15" s="225" t="s">
        <v>40</v>
      </c>
      <c r="I15" s="225"/>
      <c r="J15" s="35" t="s">
        <v>43</v>
      </c>
      <c r="K15" s="246" t="s">
        <v>45</v>
      </c>
    </row>
    <row r="16" spans="2:11" x14ac:dyDescent="0.3">
      <c r="B16" s="249"/>
      <c r="C16" s="226"/>
      <c r="D16" s="226"/>
      <c r="E16" s="226"/>
      <c r="F16" s="226"/>
      <c r="G16" s="226"/>
      <c r="H16" s="36" t="s">
        <v>41</v>
      </c>
      <c r="I16" s="36" t="s">
        <v>42</v>
      </c>
      <c r="J16" s="37" t="s">
        <v>44</v>
      </c>
      <c r="K16" s="247"/>
    </row>
    <row r="17" spans="2:11" x14ac:dyDescent="0.3">
      <c r="B17" s="227" t="s">
        <v>28</v>
      </c>
      <c r="C17" s="39" t="s">
        <v>46</v>
      </c>
      <c r="D17" s="223" t="s">
        <v>49</v>
      </c>
      <c r="E17" s="223"/>
      <c r="F17" s="223"/>
      <c r="G17" s="43">
        <v>100</v>
      </c>
      <c r="H17" s="44">
        <f>VLOOKUP(LEFT(D17,6),Source!$B$31:$H$46,5,0)</f>
        <v>5387.98</v>
      </c>
      <c r="I17" s="44">
        <f>+G17*H17</f>
        <v>538798</v>
      </c>
      <c r="J17" s="44">
        <f>+I17*0.08</f>
        <v>43103.840000000004</v>
      </c>
      <c r="K17" s="45">
        <f>+J17+I17</f>
        <v>581901.84</v>
      </c>
    </row>
    <row r="18" spans="2:11" x14ac:dyDescent="0.3">
      <c r="B18" s="228"/>
      <c r="C18" s="230" t="s">
        <v>47</v>
      </c>
      <c r="D18" s="218" t="s">
        <v>49</v>
      </c>
      <c r="E18" s="218"/>
      <c r="F18" s="218"/>
      <c r="G18" s="46">
        <v>70</v>
      </c>
      <c r="H18" s="47">
        <f>VLOOKUP(LEFT(D18,6),Source!$B$31:$H$46,5,0)</f>
        <v>5387.98</v>
      </c>
      <c r="I18" s="47">
        <f t="shared" ref="I18:I40" si="0">+G18*H18</f>
        <v>377158.6</v>
      </c>
      <c r="J18" s="47">
        <f t="shared" ref="J18:J40" si="1">+I18*0.08</f>
        <v>30172.687999999998</v>
      </c>
      <c r="K18" s="48">
        <f t="shared" ref="K18:K40" si="2">+J18+I18</f>
        <v>407331.288</v>
      </c>
    </row>
    <row r="19" spans="2:11" x14ac:dyDescent="0.3">
      <c r="B19" s="229"/>
      <c r="C19" s="231"/>
      <c r="D19" s="224" t="s">
        <v>50</v>
      </c>
      <c r="E19" s="224"/>
      <c r="F19" s="224"/>
      <c r="G19" s="49">
        <v>30</v>
      </c>
      <c r="H19" s="50">
        <f>VLOOKUP(LEFT(D19,6),Source!$B$31:$H$46,5,0)</f>
        <v>7261.23</v>
      </c>
      <c r="I19" s="50">
        <f t="shared" si="0"/>
        <v>217836.9</v>
      </c>
      <c r="J19" s="50">
        <f t="shared" si="1"/>
        <v>17426.952000000001</v>
      </c>
      <c r="K19" s="51">
        <f t="shared" si="2"/>
        <v>235263.85199999998</v>
      </c>
    </row>
    <row r="20" spans="2:11" x14ac:dyDescent="0.3">
      <c r="B20" s="227" t="s">
        <v>29</v>
      </c>
      <c r="C20" s="232" t="s">
        <v>46</v>
      </c>
      <c r="D20" s="223" t="s">
        <v>51</v>
      </c>
      <c r="E20" s="223"/>
      <c r="F20" s="223"/>
      <c r="G20" s="43">
        <v>100</v>
      </c>
      <c r="H20" s="44">
        <f>VLOOKUP(LEFT(D20,6),Source!$B$31:$H$46,5,0)</f>
        <v>2946.36</v>
      </c>
      <c r="I20" s="44">
        <f t="shared" si="0"/>
        <v>294636</v>
      </c>
      <c r="J20" s="44">
        <f t="shared" si="1"/>
        <v>23570.880000000001</v>
      </c>
      <c r="K20" s="45">
        <f t="shared" si="2"/>
        <v>318206.88</v>
      </c>
    </row>
    <row r="21" spans="2:11" x14ac:dyDescent="0.3">
      <c r="B21" s="228"/>
      <c r="C21" s="233"/>
      <c r="D21" s="222" t="s">
        <v>52</v>
      </c>
      <c r="E21" s="222"/>
      <c r="F21" s="222"/>
      <c r="G21" s="52">
        <v>50</v>
      </c>
      <c r="H21" s="53">
        <f>VLOOKUP(LEFT(D21,6),Source!$B$31:$H$46,5,0)</f>
        <v>7133.72</v>
      </c>
      <c r="I21" s="53">
        <f t="shared" si="0"/>
        <v>356686</v>
      </c>
      <c r="J21" s="53">
        <f t="shared" si="1"/>
        <v>28534.880000000001</v>
      </c>
      <c r="K21" s="54">
        <f t="shared" si="2"/>
        <v>385220.88</v>
      </c>
    </row>
    <row r="22" spans="2:11" x14ac:dyDescent="0.3">
      <c r="B22" s="228"/>
      <c r="C22" s="230" t="s">
        <v>47</v>
      </c>
      <c r="D22" s="218" t="s">
        <v>51</v>
      </c>
      <c r="E22" s="218"/>
      <c r="F22" s="218"/>
      <c r="G22" s="46">
        <v>100</v>
      </c>
      <c r="H22" s="47">
        <f>VLOOKUP(LEFT(D22,6),Source!$B$31:$H$46,5,0)</f>
        <v>2946.36</v>
      </c>
      <c r="I22" s="47">
        <f t="shared" si="0"/>
        <v>294636</v>
      </c>
      <c r="J22" s="47">
        <f t="shared" si="1"/>
        <v>23570.880000000001</v>
      </c>
      <c r="K22" s="48">
        <f t="shared" si="2"/>
        <v>318206.88</v>
      </c>
    </row>
    <row r="23" spans="2:11" x14ac:dyDescent="0.3">
      <c r="B23" s="229"/>
      <c r="C23" s="231"/>
      <c r="D23" s="224" t="s">
        <v>53</v>
      </c>
      <c r="E23" s="224"/>
      <c r="F23" s="224"/>
      <c r="G23" s="49">
        <v>50</v>
      </c>
      <c r="H23" s="50">
        <f>VLOOKUP(LEFT(D23,6),Source!$B$31:$H$46,5,0)</f>
        <v>9319.08</v>
      </c>
      <c r="I23" s="50">
        <f t="shared" si="0"/>
        <v>465954</v>
      </c>
      <c r="J23" s="50">
        <f t="shared" si="1"/>
        <v>37276.32</v>
      </c>
      <c r="K23" s="51">
        <f t="shared" si="2"/>
        <v>503230.32</v>
      </c>
    </row>
    <row r="24" spans="2:11" x14ac:dyDescent="0.3">
      <c r="B24" s="227" t="s">
        <v>30</v>
      </c>
      <c r="C24" s="232" t="s">
        <v>46</v>
      </c>
      <c r="D24" s="223" t="s">
        <v>54</v>
      </c>
      <c r="E24" s="223"/>
      <c r="F24" s="223"/>
      <c r="G24" s="43">
        <v>50</v>
      </c>
      <c r="H24" s="44">
        <f>VLOOKUP(LEFT(D24,6),Source!$B$31:$H$46,5,0)</f>
        <v>6652.84</v>
      </c>
      <c r="I24" s="44">
        <f t="shared" si="0"/>
        <v>332642</v>
      </c>
      <c r="J24" s="44">
        <f t="shared" si="1"/>
        <v>26611.360000000001</v>
      </c>
      <c r="K24" s="45">
        <f t="shared" si="2"/>
        <v>359253.36</v>
      </c>
    </row>
    <row r="25" spans="2:11" x14ac:dyDescent="0.3">
      <c r="B25" s="228"/>
      <c r="C25" s="233"/>
      <c r="D25" s="222" t="s">
        <v>55</v>
      </c>
      <c r="E25" s="222"/>
      <c r="F25" s="222"/>
      <c r="G25" s="52">
        <v>50</v>
      </c>
      <c r="H25" s="53">
        <f>VLOOKUP(LEFT(D25,6),Source!$B$31:$H$46,5,0)</f>
        <v>4436.88</v>
      </c>
      <c r="I25" s="53">
        <f t="shared" si="0"/>
        <v>221844</v>
      </c>
      <c r="J25" s="53">
        <f t="shared" si="1"/>
        <v>17747.52</v>
      </c>
      <c r="K25" s="54">
        <f t="shared" si="2"/>
        <v>239591.52</v>
      </c>
    </row>
    <row r="26" spans="2:11" x14ac:dyDescent="0.3">
      <c r="B26" s="228"/>
      <c r="C26" s="230" t="s">
        <v>47</v>
      </c>
      <c r="D26" s="218" t="s">
        <v>56</v>
      </c>
      <c r="E26" s="218"/>
      <c r="F26" s="218"/>
      <c r="G26" s="46">
        <v>50</v>
      </c>
      <c r="H26" s="47">
        <f>VLOOKUP(LEFT(D26,6),Source!$B$31:$H$46,5,0)</f>
        <v>8695.2000000000007</v>
      </c>
      <c r="I26" s="47">
        <f t="shared" si="0"/>
        <v>434760.00000000006</v>
      </c>
      <c r="J26" s="47">
        <f t="shared" si="1"/>
        <v>34780.800000000003</v>
      </c>
      <c r="K26" s="48">
        <f t="shared" si="2"/>
        <v>469540.80000000005</v>
      </c>
    </row>
    <row r="27" spans="2:11" x14ac:dyDescent="0.3">
      <c r="B27" s="229"/>
      <c r="C27" s="231"/>
      <c r="D27" s="224" t="s">
        <v>213</v>
      </c>
      <c r="E27" s="224"/>
      <c r="F27" s="224"/>
      <c r="G27" s="49">
        <v>50</v>
      </c>
      <c r="H27" s="50">
        <f>VLOOKUP(LEFT(D27,6),Source!$B$31:$H$46,5,0)</f>
        <v>4436.88</v>
      </c>
      <c r="I27" s="50">
        <f t="shared" si="0"/>
        <v>221844</v>
      </c>
      <c r="J27" s="50">
        <f t="shared" si="1"/>
        <v>17747.52</v>
      </c>
      <c r="K27" s="51">
        <f t="shared" si="2"/>
        <v>239591.52</v>
      </c>
    </row>
    <row r="28" spans="2:11" x14ac:dyDescent="0.3">
      <c r="B28" s="227" t="s">
        <v>31</v>
      </c>
      <c r="C28" s="232" t="s">
        <v>46</v>
      </c>
      <c r="D28" s="223" t="s">
        <v>57</v>
      </c>
      <c r="E28" s="223"/>
      <c r="F28" s="223"/>
      <c r="G28" s="43">
        <v>50</v>
      </c>
      <c r="H28" s="44">
        <f>VLOOKUP(LEFT(D28,6),Source!$B$31:$H$46,5,0)</f>
        <v>1423.35</v>
      </c>
      <c r="I28" s="44">
        <f t="shared" si="0"/>
        <v>71167.5</v>
      </c>
      <c r="J28" s="44">
        <f t="shared" si="1"/>
        <v>5693.4000000000005</v>
      </c>
      <c r="K28" s="45">
        <f t="shared" si="2"/>
        <v>76860.899999999994</v>
      </c>
    </row>
    <row r="29" spans="2:11" x14ac:dyDescent="0.3">
      <c r="B29" s="228"/>
      <c r="C29" s="233"/>
      <c r="D29" s="222" t="s">
        <v>58</v>
      </c>
      <c r="E29" s="222"/>
      <c r="F29" s="222"/>
      <c r="G29" s="52">
        <v>50</v>
      </c>
      <c r="H29" s="53">
        <f>VLOOKUP(LEFT(D29,6),Source!$B$31:$H$46,5,0)</f>
        <v>3047.94</v>
      </c>
      <c r="I29" s="53">
        <f t="shared" si="0"/>
        <v>152397</v>
      </c>
      <c r="J29" s="53">
        <f t="shared" si="1"/>
        <v>12191.76</v>
      </c>
      <c r="K29" s="54">
        <f t="shared" si="2"/>
        <v>164588.76</v>
      </c>
    </row>
    <row r="30" spans="2:11" x14ac:dyDescent="0.3">
      <c r="B30" s="228"/>
      <c r="C30" s="230" t="s">
        <v>47</v>
      </c>
      <c r="D30" s="218" t="s">
        <v>57</v>
      </c>
      <c r="E30" s="218"/>
      <c r="F30" s="218"/>
      <c r="G30" s="46">
        <v>50</v>
      </c>
      <c r="H30" s="47">
        <f>VLOOKUP(LEFT(D30,6),Source!$B$31:$H$46,5,0)</f>
        <v>1423.35</v>
      </c>
      <c r="I30" s="47">
        <f t="shared" si="0"/>
        <v>71167.5</v>
      </c>
      <c r="J30" s="47">
        <f t="shared" si="1"/>
        <v>5693.4000000000005</v>
      </c>
      <c r="K30" s="48">
        <f t="shared" si="2"/>
        <v>76860.899999999994</v>
      </c>
    </row>
    <row r="31" spans="2:11" x14ac:dyDescent="0.3">
      <c r="B31" s="229"/>
      <c r="C31" s="231"/>
      <c r="D31" s="224" t="s">
        <v>58</v>
      </c>
      <c r="E31" s="224"/>
      <c r="F31" s="224"/>
      <c r="G31" s="49">
        <v>50</v>
      </c>
      <c r="H31" s="50">
        <f>VLOOKUP(LEFT(D31,6),Source!$B$31:$H$46,5,0)</f>
        <v>3047.94</v>
      </c>
      <c r="I31" s="50">
        <f t="shared" si="0"/>
        <v>152397</v>
      </c>
      <c r="J31" s="50">
        <f t="shared" si="1"/>
        <v>12191.76</v>
      </c>
      <c r="K31" s="51">
        <f t="shared" si="2"/>
        <v>164588.76</v>
      </c>
    </row>
    <row r="32" spans="2:11" x14ac:dyDescent="0.3">
      <c r="B32" s="227" t="s">
        <v>32</v>
      </c>
      <c r="C32" s="39" t="s">
        <v>46</v>
      </c>
      <c r="D32" s="223" t="s">
        <v>59</v>
      </c>
      <c r="E32" s="223"/>
      <c r="F32" s="223"/>
      <c r="G32" s="43">
        <v>100</v>
      </c>
      <c r="H32" s="44">
        <f>VLOOKUP(LEFT(D32,6),Source!$B$31:$H$46,5,0)</f>
        <v>3028.22</v>
      </c>
      <c r="I32" s="44">
        <f t="shared" si="0"/>
        <v>302822</v>
      </c>
      <c r="J32" s="44">
        <f t="shared" si="1"/>
        <v>24225.760000000002</v>
      </c>
      <c r="K32" s="45">
        <f t="shared" si="2"/>
        <v>327047.76</v>
      </c>
    </row>
    <row r="33" spans="2:11" x14ac:dyDescent="0.3">
      <c r="B33" s="228"/>
      <c r="C33" s="230" t="s">
        <v>47</v>
      </c>
      <c r="D33" s="218" t="s">
        <v>59</v>
      </c>
      <c r="E33" s="218"/>
      <c r="F33" s="218"/>
      <c r="G33" s="46">
        <v>50</v>
      </c>
      <c r="H33" s="47">
        <f>VLOOKUP(LEFT(D33,6),Source!$B$31:$H$46,5,0)</f>
        <v>3028.22</v>
      </c>
      <c r="I33" s="47">
        <f t="shared" si="0"/>
        <v>151411</v>
      </c>
      <c r="J33" s="47">
        <f t="shared" si="1"/>
        <v>12112.880000000001</v>
      </c>
      <c r="K33" s="48">
        <f t="shared" si="2"/>
        <v>163523.88</v>
      </c>
    </row>
    <row r="34" spans="2:11" x14ac:dyDescent="0.3">
      <c r="B34" s="229"/>
      <c r="C34" s="231"/>
      <c r="D34" s="224" t="s">
        <v>60</v>
      </c>
      <c r="E34" s="224"/>
      <c r="F34" s="224"/>
      <c r="G34" s="49">
        <v>50</v>
      </c>
      <c r="H34" s="50">
        <f>VLOOKUP(LEFT(D34,6),Source!$B$31:$H$46,5,0)</f>
        <v>3701.49</v>
      </c>
      <c r="I34" s="50">
        <f t="shared" si="0"/>
        <v>185074.5</v>
      </c>
      <c r="J34" s="50">
        <f t="shared" si="1"/>
        <v>14805.960000000001</v>
      </c>
      <c r="K34" s="51">
        <f t="shared" si="2"/>
        <v>199880.46</v>
      </c>
    </row>
    <row r="35" spans="2:11" x14ac:dyDescent="0.3">
      <c r="B35" s="227" t="s">
        <v>33</v>
      </c>
      <c r="C35" s="232" t="s">
        <v>46</v>
      </c>
      <c r="D35" s="223" t="s">
        <v>61</v>
      </c>
      <c r="E35" s="223"/>
      <c r="F35" s="223"/>
      <c r="G35" s="43">
        <v>25</v>
      </c>
      <c r="H35" s="44">
        <f>VLOOKUP(LEFT(D35,6),Source!$B$31:$H$46,5,0)</f>
        <v>3653.17</v>
      </c>
      <c r="I35" s="44">
        <f t="shared" si="0"/>
        <v>91329.25</v>
      </c>
      <c r="J35" s="44">
        <f t="shared" si="1"/>
        <v>7306.34</v>
      </c>
      <c r="K35" s="45">
        <f t="shared" si="2"/>
        <v>98635.59</v>
      </c>
    </row>
    <row r="36" spans="2:11" x14ac:dyDescent="0.3">
      <c r="B36" s="228"/>
      <c r="C36" s="233"/>
      <c r="D36" s="222" t="s">
        <v>62</v>
      </c>
      <c r="E36" s="222"/>
      <c r="F36" s="222"/>
      <c r="G36" s="52">
        <v>25</v>
      </c>
      <c r="H36" s="53">
        <f>VLOOKUP(LEFT(D36,6),Source!$B$31:$H$46,5,0)</f>
        <v>2384.77</v>
      </c>
      <c r="I36" s="53">
        <f t="shared" si="0"/>
        <v>59619.25</v>
      </c>
      <c r="J36" s="53">
        <f t="shared" si="1"/>
        <v>4769.54</v>
      </c>
      <c r="K36" s="54">
        <f t="shared" si="2"/>
        <v>64388.79</v>
      </c>
    </row>
    <row r="37" spans="2:11" x14ac:dyDescent="0.3">
      <c r="B37" s="228"/>
      <c r="C37" s="230" t="s">
        <v>47</v>
      </c>
      <c r="D37" s="218" t="s">
        <v>61</v>
      </c>
      <c r="E37" s="218"/>
      <c r="F37" s="218"/>
      <c r="G37" s="46">
        <v>25</v>
      </c>
      <c r="H37" s="47">
        <f>VLOOKUP(LEFT(D37,6),Source!$B$31:$H$46,5,0)</f>
        <v>3653.17</v>
      </c>
      <c r="I37" s="47">
        <f t="shared" si="0"/>
        <v>91329.25</v>
      </c>
      <c r="J37" s="47">
        <f t="shared" si="1"/>
        <v>7306.34</v>
      </c>
      <c r="K37" s="48">
        <f t="shared" si="2"/>
        <v>98635.59</v>
      </c>
    </row>
    <row r="38" spans="2:11" x14ac:dyDescent="0.3">
      <c r="B38" s="229"/>
      <c r="C38" s="231"/>
      <c r="D38" s="224" t="s">
        <v>62</v>
      </c>
      <c r="E38" s="224"/>
      <c r="F38" s="224"/>
      <c r="G38" s="49">
        <v>25</v>
      </c>
      <c r="H38" s="50">
        <f>VLOOKUP(LEFT(D38,6),Source!$B$31:$H$46,5,0)</f>
        <v>2384.77</v>
      </c>
      <c r="I38" s="50">
        <f t="shared" si="0"/>
        <v>59619.25</v>
      </c>
      <c r="J38" s="50">
        <f t="shared" si="1"/>
        <v>4769.54</v>
      </c>
      <c r="K38" s="51">
        <f t="shared" si="2"/>
        <v>64388.79</v>
      </c>
    </row>
    <row r="39" spans="2:11" x14ac:dyDescent="0.3">
      <c r="B39" s="227" t="s">
        <v>34</v>
      </c>
      <c r="C39" s="39" t="s">
        <v>46</v>
      </c>
      <c r="D39" s="223" t="s">
        <v>63</v>
      </c>
      <c r="E39" s="223"/>
      <c r="F39" s="223"/>
      <c r="G39" s="43">
        <v>50</v>
      </c>
      <c r="H39" s="44">
        <f>VLOOKUP(LEFT(D39,6),Source!$B$31:$H$46,5,0)</f>
        <v>3533.52</v>
      </c>
      <c r="I39" s="44">
        <f t="shared" si="0"/>
        <v>176676</v>
      </c>
      <c r="J39" s="44">
        <f t="shared" si="1"/>
        <v>14134.08</v>
      </c>
      <c r="K39" s="45">
        <f t="shared" si="2"/>
        <v>190810.08</v>
      </c>
    </row>
    <row r="40" spans="2:11" x14ac:dyDescent="0.3">
      <c r="B40" s="229"/>
      <c r="C40" s="42" t="s">
        <v>47</v>
      </c>
      <c r="D40" s="218" t="s">
        <v>63</v>
      </c>
      <c r="E40" s="218"/>
      <c r="F40" s="218"/>
      <c r="G40" s="46">
        <v>50</v>
      </c>
      <c r="H40" s="47">
        <f>VLOOKUP(LEFT(D40,6),Source!$B$31:$H$46,5,0)</f>
        <v>3533.52</v>
      </c>
      <c r="I40" s="47">
        <f t="shared" si="0"/>
        <v>176676</v>
      </c>
      <c r="J40" s="47">
        <f t="shared" si="1"/>
        <v>14134.08</v>
      </c>
      <c r="K40" s="48">
        <f t="shared" si="2"/>
        <v>190810.08</v>
      </c>
    </row>
    <row r="41" spans="2:11" x14ac:dyDescent="0.3">
      <c r="B41" s="250" t="s">
        <v>48</v>
      </c>
      <c r="C41" s="237" t="s">
        <v>46</v>
      </c>
      <c r="D41" s="238"/>
      <c r="E41" s="238"/>
      <c r="F41" s="239"/>
      <c r="G41" s="55">
        <f>+G17+G20+G21+G24+G25+G28+G29+G32+G35++G36+G39</f>
        <v>650</v>
      </c>
      <c r="H41" s="56">
        <f>+H17+H20+H21+H24+H25+H28+H29+H32+H35+H36+H39</f>
        <v>43628.749999999993</v>
      </c>
      <c r="I41" s="56">
        <f>+I17+I20+I21+I24+I25+I28+I29+I32+I35++I36+I39</f>
        <v>2598617</v>
      </c>
      <c r="J41" s="56">
        <f>+J17+J20+J21+J24+J25+J28+J29+J32+J35++J36+J39</f>
        <v>207889.36000000002</v>
      </c>
      <c r="K41" s="57">
        <f>+K17+K20+K21+K24+K25+K28+K29+K32+K35++K36+K39</f>
        <v>2806506.3599999994</v>
      </c>
    </row>
    <row r="42" spans="2:11" x14ac:dyDescent="0.3">
      <c r="B42" s="251"/>
      <c r="C42" s="234" t="s">
        <v>47</v>
      </c>
      <c r="D42" s="235"/>
      <c r="E42" s="235"/>
      <c r="F42" s="236"/>
      <c r="G42" s="164">
        <f>+G18+G19+G22+G23+G26+G27+G30+G31+G33+G34+G37+G38+G40</f>
        <v>650</v>
      </c>
      <c r="H42" s="165">
        <f>+H18+H19+H22+H23+H26+H27+H30+H31+H33+H34+H37+H38+H40</f>
        <v>58819.189999999995</v>
      </c>
      <c r="I42" s="165">
        <f>+I18+I19+I22+I23+I26+I27+I30+I31+I33+I34+I37+I38+I40</f>
        <v>2899864</v>
      </c>
      <c r="J42" s="165">
        <f>+J18+J19+J22+J23+J26+J27+J30+J31+J33+J34+J37+J38+J40</f>
        <v>231989.12</v>
      </c>
      <c r="K42" s="166">
        <f>+K18+K19+K22+K23+K26+K27+K30+K31+K33+K34+K37+K38+K40</f>
        <v>3131853.12</v>
      </c>
    </row>
  </sheetData>
  <mergeCells count="53">
    <mergeCell ref="C42:F42"/>
    <mergeCell ref="C41:F41"/>
    <mergeCell ref="B1:K1"/>
    <mergeCell ref="B3:K3"/>
    <mergeCell ref="B17:B19"/>
    <mergeCell ref="G15:G16"/>
    <mergeCell ref="K15:K16"/>
    <mergeCell ref="H15:I15"/>
    <mergeCell ref="C30:C31"/>
    <mergeCell ref="C28:C29"/>
    <mergeCell ref="C26:C27"/>
    <mergeCell ref="C15:C16"/>
    <mergeCell ref="B15:B16"/>
    <mergeCell ref="B41:B42"/>
    <mergeCell ref="C37:C38"/>
    <mergeCell ref="C35:C36"/>
    <mergeCell ref="C33:C34"/>
    <mergeCell ref="C18:C19"/>
    <mergeCell ref="C24:C25"/>
    <mergeCell ref="C22:C23"/>
    <mergeCell ref="C20:C21"/>
    <mergeCell ref="B39:B40"/>
    <mergeCell ref="B35:B38"/>
    <mergeCell ref="B32:B34"/>
    <mergeCell ref="B28:B31"/>
    <mergeCell ref="B24:B27"/>
    <mergeCell ref="D29:F29"/>
    <mergeCell ref="B20:B23"/>
    <mergeCell ref="D25:F25"/>
    <mergeCell ref="D24:F24"/>
    <mergeCell ref="D23:F23"/>
    <mergeCell ref="D22:F22"/>
    <mergeCell ref="D34:F34"/>
    <mergeCell ref="D33:F33"/>
    <mergeCell ref="D32:F32"/>
    <mergeCell ref="D31:F31"/>
    <mergeCell ref="D30:F30"/>
    <mergeCell ref="D40:F40"/>
    <mergeCell ref="F5:K12"/>
    <mergeCell ref="D21:F21"/>
    <mergeCell ref="D20:F20"/>
    <mergeCell ref="D19:F19"/>
    <mergeCell ref="D18:F18"/>
    <mergeCell ref="D17:F17"/>
    <mergeCell ref="D15:F16"/>
    <mergeCell ref="D28:F28"/>
    <mergeCell ref="D27:F27"/>
    <mergeCell ref="D26:F26"/>
    <mergeCell ref="D39:F39"/>
    <mergeCell ref="D38:F38"/>
    <mergeCell ref="D37:F37"/>
    <mergeCell ref="D36:F36"/>
    <mergeCell ref="D35:F35"/>
  </mergeCells>
  <printOptions horizontalCentered="1" verticalCentered="1"/>
  <pageMargins left="0.70866141732283472" right="0.70866141732283472" top="0.74803149606299213" bottom="0.74803149606299213" header="0.31496062992125984" footer="0.31496062992125984"/>
  <pageSetup paperSize="9"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C93BC-50E4-4673-8DE8-E0BF2747112E}">
  <sheetPr>
    <pageSetUpPr fitToPage="1"/>
  </sheetPr>
  <dimension ref="B1:Q62"/>
  <sheetViews>
    <sheetView showGridLines="0" topLeftCell="O46" zoomScaleNormal="100" workbookViewId="0">
      <selection activeCell="B20" sqref="B22:K34"/>
    </sheetView>
  </sheetViews>
  <sheetFormatPr baseColWidth="10" defaultRowHeight="13.5" x14ac:dyDescent="0.3"/>
  <cols>
    <col min="1" max="1" width="3.23046875" customWidth="1"/>
    <col min="2" max="2" width="33.3828125" bestFit="1" customWidth="1"/>
    <col min="3" max="3" width="12.23046875" customWidth="1"/>
    <col min="4" max="4" width="18.23046875" customWidth="1"/>
    <col min="5" max="5" width="16.84375" bestFit="1" customWidth="1"/>
    <col min="6" max="6" width="7.921875" bestFit="1" customWidth="1"/>
    <col min="7" max="7" width="7.15234375" customWidth="1"/>
    <col min="8" max="8" width="11.69140625" customWidth="1"/>
    <col min="9" max="9" width="10.61328125" customWidth="1"/>
    <col min="10" max="10" width="4.84375" bestFit="1" customWidth="1"/>
    <col min="11" max="11" width="31" bestFit="1" customWidth="1"/>
    <col min="12" max="12" width="9.61328125" customWidth="1"/>
    <col min="14" max="14" width="12.61328125" customWidth="1"/>
    <col min="16" max="16" width="12.4609375" customWidth="1"/>
  </cols>
  <sheetData>
    <row r="1" spans="2:12" ht="20" thickBot="1" x14ac:dyDescent="0.4">
      <c r="B1" s="240" t="s">
        <v>87</v>
      </c>
      <c r="C1" s="241"/>
      <c r="D1" s="241"/>
      <c r="E1" s="241"/>
      <c r="F1" s="241"/>
      <c r="G1" s="241"/>
      <c r="H1" s="241"/>
      <c r="I1" s="241"/>
      <c r="J1" s="241"/>
      <c r="K1" s="241"/>
      <c r="L1" s="242"/>
    </row>
    <row r="2" spans="2:12" ht="14" thickTop="1" x14ac:dyDescent="0.3"/>
    <row r="3" spans="2:12" ht="13.25" customHeight="1" x14ac:dyDescent="0.3">
      <c r="B3" s="219" t="s">
        <v>234</v>
      </c>
      <c r="C3" s="220"/>
      <c r="D3" s="220"/>
      <c r="E3" s="220"/>
      <c r="F3" s="220"/>
      <c r="G3" s="220"/>
      <c r="H3" s="220"/>
      <c r="I3" s="220"/>
      <c r="J3" s="220"/>
      <c r="K3" s="220"/>
      <c r="L3" s="221"/>
    </row>
    <row r="4" spans="2:12" ht="13.25" customHeight="1" x14ac:dyDescent="0.3">
      <c r="B4" s="190"/>
      <c r="C4" s="198"/>
      <c r="D4" s="198"/>
      <c r="E4" s="198"/>
      <c r="F4" s="198"/>
      <c r="G4" s="198"/>
      <c r="H4" s="198"/>
      <c r="I4" s="198"/>
      <c r="J4" s="198"/>
      <c r="K4" s="198"/>
      <c r="L4" s="199"/>
    </row>
    <row r="5" spans="2:12" ht="13.25" customHeight="1" x14ac:dyDescent="0.3">
      <c r="B5" s="190"/>
      <c r="C5" s="198"/>
      <c r="D5" s="198"/>
      <c r="E5" s="198"/>
      <c r="F5" s="198"/>
      <c r="G5" s="198"/>
      <c r="H5" s="198"/>
      <c r="I5" s="198"/>
      <c r="J5" s="198"/>
      <c r="K5" s="198"/>
      <c r="L5" s="199"/>
    </row>
    <row r="6" spans="2:12" ht="14" thickBot="1" x14ac:dyDescent="0.35">
      <c r="B6" s="200"/>
      <c r="C6" s="201"/>
      <c r="D6" s="201"/>
      <c r="E6" s="201"/>
      <c r="F6" s="201"/>
      <c r="G6" s="201"/>
      <c r="H6" s="201"/>
      <c r="I6" s="201"/>
      <c r="J6" s="201"/>
      <c r="K6" s="201"/>
      <c r="L6" s="202"/>
    </row>
    <row r="7" spans="2:12" ht="14" thickTop="1" x14ac:dyDescent="0.3"/>
    <row r="8" spans="2:12" x14ac:dyDescent="0.3">
      <c r="B8" s="259" t="s">
        <v>37</v>
      </c>
      <c r="C8" s="261" t="s">
        <v>64</v>
      </c>
      <c r="D8" s="262"/>
      <c r="E8" s="262"/>
      <c r="F8" s="262"/>
      <c r="G8" s="262"/>
      <c r="H8" s="262"/>
      <c r="I8" s="263"/>
      <c r="K8" s="252" t="s">
        <v>79</v>
      </c>
      <c r="L8" s="253"/>
    </row>
    <row r="9" spans="2:12" x14ac:dyDescent="0.3">
      <c r="B9" s="260"/>
      <c r="C9" s="61" t="s">
        <v>68</v>
      </c>
      <c r="D9" s="62" t="s">
        <v>69</v>
      </c>
      <c r="E9" s="62" t="s">
        <v>70</v>
      </c>
      <c r="F9" s="62" t="s">
        <v>71</v>
      </c>
      <c r="G9" s="62" t="s">
        <v>72</v>
      </c>
      <c r="H9" s="62" t="s">
        <v>73</v>
      </c>
      <c r="I9" s="63" t="s">
        <v>48</v>
      </c>
      <c r="K9" s="83" t="s">
        <v>82</v>
      </c>
      <c r="L9" s="87">
        <f>H19</f>
        <v>163000</v>
      </c>
    </row>
    <row r="10" spans="2:12" x14ac:dyDescent="0.3">
      <c r="B10" s="71" t="s">
        <v>65</v>
      </c>
      <c r="C10" s="67">
        <v>3.8</v>
      </c>
      <c r="D10" s="58"/>
      <c r="E10" s="58"/>
      <c r="F10" s="58">
        <v>1</v>
      </c>
      <c r="G10" s="58"/>
      <c r="H10" s="58">
        <v>1</v>
      </c>
      <c r="I10" s="59">
        <f>SUM(C10:H10)</f>
        <v>5.8</v>
      </c>
      <c r="K10" s="84" t="s">
        <v>83</v>
      </c>
      <c r="L10" s="54">
        <f>+G19+F19+E19+D19+C19</f>
        <v>609780</v>
      </c>
    </row>
    <row r="11" spans="2:12" x14ac:dyDescent="0.3">
      <c r="B11" s="72" t="s">
        <v>66</v>
      </c>
      <c r="C11" s="68"/>
      <c r="D11" s="52">
        <v>4.5</v>
      </c>
      <c r="E11" s="52"/>
      <c r="F11" s="52">
        <v>2.5</v>
      </c>
      <c r="G11" s="52">
        <v>1</v>
      </c>
      <c r="H11" s="52"/>
      <c r="I11" s="64">
        <f t="shared" ref="I11:I13" si="0">SUM(C11:H11)</f>
        <v>8</v>
      </c>
      <c r="K11" s="85" t="s">
        <v>86</v>
      </c>
      <c r="L11" s="48">
        <f>SUM(L9:L10)</f>
        <v>772780</v>
      </c>
    </row>
    <row r="12" spans="2:12" x14ac:dyDescent="0.3">
      <c r="B12" s="73" t="s">
        <v>67</v>
      </c>
      <c r="C12" s="69"/>
      <c r="D12" s="46"/>
      <c r="E12" s="46">
        <v>1</v>
      </c>
      <c r="F12" s="46">
        <v>1</v>
      </c>
      <c r="G12" s="46"/>
      <c r="H12" s="46"/>
      <c r="I12" s="60">
        <f t="shared" si="0"/>
        <v>2</v>
      </c>
      <c r="K12" s="84" t="s">
        <v>80</v>
      </c>
      <c r="L12" s="64">
        <f>'Activités et recettes supp.'!G41</f>
        <v>650</v>
      </c>
    </row>
    <row r="13" spans="2:12" x14ac:dyDescent="0.3">
      <c r="B13" s="74" t="s">
        <v>48</v>
      </c>
      <c r="C13" s="70">
        <f>SUM(C10:C12)</f>
        <v>3.8</v>
      </c>
      <c r="D13" s="65">
        <f t="shared" ref="D13:H13" si="1">SUM(D10:D12)</f>
        <v>4.5</v>
      </c>
      <c r="E13" s="65">
        <f t="shared" si="1"/>
        <v>1</v>
      </c>
      <c r="F13" s="65">
        <f t="shared" si="1"/>
        <v>4.5</v>
      </c>
      <c r="G13" s="65">
        <f t="shared" si="1"/>
        <v>1</v>
      </c>
      <c r="H13" s="65">
        <f t="shared" si="1"/>
        <v>1</v>
      </c>
      <c r="I13" s="66">
        <f t="shared" si="0"/>
        <v>15.8</v>
      </c>
      <c r="K13" s="85" t="s">
        <v>84</v>
      </c>
      <c r="L13" s="48">
        <f>+L9/$L$12</f>
        <v>250.76923076923077</v>
      </c>
    </row>
    <row r="14" spans="2:12" x14ac:dyDescent="0.3">
      <c r="K14" s="84" t="s">
        <v>85</v>
      </c>
      <c r="L14" s="54">
        <f>+L10/$L$12</f>
        <v>938.12307692307695</v>
      </c>
    </row>
    <row r="15" spans="2:12" x14ac:dyDescent="0.3">
      <c r="K15" s="86" t="s">
        <v>81</v>
      </c>
      <c r="L15" s="51">
        <f>+L11/$L$12</f>
        <v>1188.8923076923077</v>
      </c>
    </row>
    <row r="16" spans="2:12" x14ac:dyDescent="0.3">
      <c r="B16" s="259" t="s">
        <v>37</v>
      </c>
      <c r="C16" s="261" t="s">
        <v>74</v>
      </c>
      <c r="D16" s="262"/>
      <c r="E16" s="262"/>
      <c r="F16" s="262"/>
      <c r="G16" s="262"/>
      <c r="H16" s="262"/>
      <c r="I16" s="263"/>
    </row>
    <row r="17" spans="2:12" x14ac:dyDescent="0.3">
      <c r="B17" s="260"/>
      <c r="C17" s="61" t="s">
        <v>68</v>
      </c>
      <c r="D17" s="62" t="s">
        <v>69</v>
      </c>
      <c r="E17" s="62" t="s">
        <v>70</v>
      </c>
      <c r="F17" s="62" t="s">
        <v>71</v>
      </c>
      <c r="G17" s="62" t="s">
        <v>72</v>
      </c>
      <c r="H17" s="62" t="s">
        <v>73</v>
      </c>
      <c r="I17" s="63" t="s">
        <v>48</v>
      </c>
    </row>
    <row r="18" spans="2:12" x14ac:dyDescent="0.3">
      <c r="B18" s="79" t="s">
        <v>75</v>
      </c>
      <c r="C18" s="80">
        <v>48600</v>
      </c>
      <c r="D18" s="81">
        <v>46750</v>
      </c>
      <c r="E18" s="81">
        <v>43300</v>
      </c>
      <c r="F18" s="81">
        <v>31250</v>
      </c>
      <c r="G18" s="81">
        <v>30800</v>
      </c>
      <c r="H18" s="81">
        <v>163000</v>
      </c>
      <c r="I18" s="82"/>
    </row>
    <row r="19" spans="2:12" x14ac:dyDescent="0.3">
      <c r="B19" s="75" t="s">
        <v>76</v>
      </c>
      <c r="C19" s="76">
        <f>+C18*C13</f>
        <v>184680</v>
      </c>
      <c r="D19" s="77">
        <f t="shared" ref="D19:H19" si="2">+D18*D13</f>
        <v>210375</v>
      </c>
      <c r="E19" s="77">
        <f t="shared" si="2"/>
        <v>43300</v>
      </c>
      <c r="F19" s="77">
        <f t="shared" si="2"/>
        <v>140625</v>
      </c>
      <c r="G19" s="77">
        <f t="shared" si="2"/>
        <v>30800</v>
      </c>
      <c r="H19" s="77">
        <f t="shared" si="2"/>
        <v>163000</v>
      </c>
      <c r="I19" s="78">
        <f t="shared" ref="I19" si="3">SUM(C19:H19)</f>
        <v>772780</v>
      </c>
    </row>
    <row r="23" spans="2:12" ht="20" thickBot="1" x14ac:dyDescent="0.4">
      <c r="B23" s="240" t="s">
        <v>88</v>
      </c>
      <c r="C23" s="241"/>
      <c r="D23" s="241"/>
      <c r="E23" s="241"/>
      <c r="F23" s="241"/>
      <c r="G23" s="241"/>
      <c r="H23" s="241"/>
      <c r="I23" s="241"/>
      <c r="J23" s="241"/>
      <c r="K23" s="241"/>
      <c r="L23" s="242"/>
    </row>
    <row r="24" spans="2:12" ht="14" thickTop="1" x14ac:dyDescent="0.3"/>
    <row r="25" spans="2:12" x14ac:dyDescent="0.3">
      <c r="B25" s="219" t="s">
        <v>103</v>
      </c>
      <c r="C25" s="220"/>
      <c r="D25" s="220"/>
      <c r="E25" s="220"/>
      <c r="F25" s="220"/>
      <c r="G25" s="220"/>
      <c r="H25" s="220"/>
      <c r="I25" s="220"/>
      <c r="J25" s="220"/>
      <c r="K25" s="220"/>
      <c r="L25" s="221"/>
    </row>
    <row r="26" spans="2:12" x14ac:dyDescent="0.3">
      <c r="B26" s="190"/>
      <c r="C26" s="198"/>
      <c r="D26" s="198"/>
      <c r="E26" s="198"/>
      <c r="F26" s="198"/>
      <c r="G26" s="198"/>
      <c r="H26" s="198"/>
      <c r="I26" s="198"/>
      <c r="J26" s="198"/>
      <c r="K26" s="198"/>
      <c r="L26" s="199"/>
    </row>
    <row r="27" spans="2:12" ht="14" thickBot="1" x14ac:dyDescent="0.35">
      <c r="B27" s="200"/>
      <c r="C27" s="201"/>
      <c r="D27" s="201"/>
      <c r="E27" s="201"/>
      <c r="F27" s="201"/>
      <c r="G27" s="201"/>
      <c r="H27" s="201"/>
      <c r="I27" s="201"/>
      <c r="J27" s="201"/>
      <c r="K27" s="201"/>
      <c r="L27" s="202"/>
    </row>
    <row r="28" spans="2:12" ht="14" thickTop="1" x14ac:dyDescent="0.3"/>
    <row r="29" spans="2:12" ht="27.65" customHeight="1" x14ac:dyDescent="0.3">
      <c r="B29" s="264" t="s">
        <v>89</v>
      </c>
      <c r="C29" s="254" t="s">
        <v>90</v>
      </c>
      <c r="D29" s="254" t="s">
        <v>91</v>
      </c>
      <c r="E29" s="266"/>
    </row>
    <row r="30" spans="2:12" x14ac:dyDescent="0.3">
      <c r="B30" s="265"/>
      <c r="C30" s="255"/>
      <c r="D30" s="88" t="s">
        <v>92</v>
      </c>
      <c r="E30" s="89" t="s">
        <v>93</v>
      </c>
    </row>
    <row r="31" spans="2:12" ht="17.5" x14ac:dyDescent="0.3">
      <c r="B31" s="90" t="s">
        <v>94</v>
      </c>
      <c r="C31" s="91" t="s">
        <v>95</v>
      </c>
      <c r="D31" s="91" t="s">
        <v>95</v>
      </c>
      <c r="E31" s="92" t="s">
        <v>95</v>
      </c>
    </row>
    <row r="32" spans="2:12" ht="17.5" x14ac:dyDescent="0.3">
      <c r="B32" s="93" t="s">
        <v>96</v>
      </c>
      <c r="C32" s="94" t="s">
        <v>95</v>
      </c>
      <c r="D32" s="94" t="s">
        <v>95</v>
      </c>
      <c r="E32" s="95" t="s">
        <v>95</v>
      </c>
    </row>
    <row r="33" spans="2:17" ht="17.5" x14ac:dyDescent="0.3">
      <c r="B33" s="93" t="s">
        <v>97</v>
      </c>
      <c r="C33" s="94" t="s">
        <v>95</v>
      </c>
      <c r="D33" s="94" t="s">
        <v>95</v>
      </c>
      <c r="E33" s="95" t="s">
        <v>95</v>
      </c>
    </row>
    <row r="34" spans="2:17" ht="17.5" x14ac:dyDescent="0.3">
      <c r="B34" s="93" t="s">
        <v>98</v>
      </c>
      <c r="C34" s="96"/>
      <c r="D34" s="94" t="s">
        <v>95</v>
      </c>
      <c r="E34" s="95" t="s">
        <v>95</v>
      </c>
    </row>
    <row r="35" spans="2:17" ht="17.5" x14ac:dyDescent="0.3">
      <c r="B35" s="93" t="s">
        <v>99</v>
      </c>
      <c r="C35" s="94" t="s">
        <v>95</v>
      </c>
      <c r="D35" s="94" t="s">
        <v>95</v>
      </c>
      <c r="E35" s="95" t="s">
        <v>95</v>
      </c>
    </row>
    <row r="36" spans="2:17" ht="17.5" x14ac:dyDescent="0.3">
      <c r="B36" s="93" t="s">
        <v>100</v>
      </c>
      <c r="C36" s="94" t="s">
        <v>95</v>
      </c>
      <c r="D36" s="96"/>
      <c r="E36" s="97"/>
    </row>
    <row r="37" spans="2:17" ht="17.5" x14ac:dyDescent="0.3">
      <c r="B37" s="93" t="s">
        <v>101</v>
      </c>
      <c r="C37" s="96"/>
      <c r="D37" s="94" t="s">
        <v>95</v>
      </c>
      <c r="E37" s="97"/>
    </row>
    <row r="38" spans="2:17" ht="17.5" x14ac:dyDescent="0.3">
      <c r="B38" s="98" t="s">
        <v>102</v>
      </c>
      <c r="C38" s="99"/>
      <c r="D38" s="100" t="s">
        <v>95</v>
      </c>
      <c r="E38" s="101"/>
    </row>
    <row r="40" spans="2:17" x14ac:dyDescent="0.3">
      <c r="B40" s="219" t="s">
        <v>225</v>
      </c>
      <c r="C40" s="220"/>
      <c r="D40" s="220"/>
      <c r="E40" s="220"/>
      <c r="F40" s="220"/>
      <c r="G40" s="220"/>
      <c r="H40" s="220"/>
      <c r="I40" s="220"/>
      <c r="J40" s="220"/>
      <c r="K40" s="220"/>
      <c r="L40" s="221"/>
    </row>
    <row r="41" spans="2:17" x14ac:dyDescent="0.3">
      <c r="B41" s="190"/>
      <c r="C41" s="198"/>
      <c r="D41" s="198"/>
      <c r="E41" s="198"/>
      <c r="F41" s="198"/>
      <c r="G41" s="198"/>
      <c r="H41" s="198"/>
      <c r="I41" s="198"/>
      <c r="J41" s="198"/>
      <c r="K41" s="198"/>
      <c r="L41" s="199"/>
    </row>
    <row r="42" spans="2:17" x14ac:dyDescent="0.3">
      <c r="B42" s="190"/>
      <c r="C42" s="198"/>
      <c r="D42" s="198"/>
      <c r="E42" s="198"/>
      <c r="F42" s="198"/>
      <c r="G42" s="198"/>
      <c r="H42" s="198"/>
      <c r="I42" s="198"/>
      <c r="J42" s="198"/>
      <c r="K42" s="198"/>
      <c r="L42" s="199"/>
    </row>
    <row r="43" spans="2:17" ht="14" thickBot="1" x14ac:dyDescent="0.35">
      <c r="B43" s="200"/>
      <c r="C43" s="201"/>
      <c r="D43" s="201"/>
      <c r="E43" s="201"/>
      <c r="F43" s="201"/>
      <c r="G43" s="201"/>
      <c r="H43" s="201"/>
      <c r="I43" s="201"/>
      <c r="J43" s="201"/>
      <c r="K43" s="201"/>
      <c r="L43" s="202"/>
    </row>
    <row r="44" spans="2:17" ht="14" thickTop="1" x14ac:dyDescent="0.3">
      <c r="M44" s="132"/>
    </row>
    <row r="45" spans="2:17" x14ac:dyDescent="0.3">
      <c r="B45" s="248" t="s">
        <v>117</v>
      </c>
      <c r="C45" s="225"/>
      <c r="D45" s="246"/>
      <c r="E45" s="256" t="s">
        <v>104</v>
      </c>
      <c r="F45" s="257"/>
      <c r="G45" s="257"/>
      <c r="H45" s="257"/>
      <c r="I45" s="257"/>
      <c r="J45" s="257"/>
      <c r="K45" s="257"/>
      <c r="L45" s="257"/>
      <c r="M45" s="258"/>
      <c r="N45" s="256" t="s">
        <v>114</v>
      </c>
      <c r="O45" s="257"/>
      <c r="P45" s="257"/>
      <c r="Q45" s="258"/>
    </row>
    <row r="46" spans="2:17" ht="67.5" x14ac:dyDescent="0.3">
      <c r="B46" s="249"/>
      <c r="C46" s="226"/>
      <c r="D46" s="247"/>
      <c r="E46" s="110" t="s">
        <v>105</v>
      </c>
      <c r="F46" s="111" t="s">
        <v>97</v>
      </c>
      <c r="G46" s="111" t="s">
        <v>115</v>
      </c>
      <c r="H46" s="111" t="s">
        <v>106</v>
      </c>
      <c r="I46" s="114" t="s">
        <v>107</v>
      </c>
      <c r="J46" s="115" t="s">
        <v>48</v>
      </c>
      <c r="K46" s="110" t="s">
        <v>108</v>
      </c>
      <c r="L46" s="111" t="s">
        <v>109</v>
      </c>
      <c r="M46" s="112" t="s">
        <v>228</v>
      </c>
      <c r="N46" s="113" t="s">
        <v>110</v>
      </c>
      <c r="O46" s="111" t="s">
        <v>111</v>
      </c>
      <c r="P46" s="111" t="s">
        <v>112</v>
      </c>
      <c r="Q46" s="112" t="s">
        <v>113</v>
      </c>
    </row>
    <row r="47" spans="2:17" x14ac:dyDescent="0.3">
      <c r="B47" s="274" t="s">
        <v>49</v>
      </c>
      <c r="C47" s="223"/>
      <c r="D47" s="275"/>
      <c r="E47" s="133">
        <f>VLOOKUP(LEFT($B47,6),Source!$B$9:$AQ$23,27,0)+VLOOKUP(LEFT($B47,6),Source!$B$9:$AQ$23,28,0)+VLOOKUP(LEFT($B47,6),Source!$B$9:$AQ$23,25,0)</f>
        <v>83.750927395296927</v>
      </c>
      <c r="F47" s="134">
        <f>VLOOKUP(LEFT($B47,6),Source!$B$9:$AQ$23,26,0)</f>
        <v>37.159207076203401</v>
      </c>
      <c r="G47" s="134">
        <f>VLOOKUP(LEFT($B47,6),Source!$B$9:$AQ$23,21,0)</f>
        <v>343.815526762795</v>
      </c>
      <c r="H47" s="134">
        <f>VLOOKUP(LEFT($B47,6),Source!$B$9:$AQ$23,23,0)+VLOOKUP(LEFT($B47,6),Source!$B$9:$AQ$23,24,0)</f>
        <v>1436.3121667154019</v>
      </c>
      <c r="I47" s="135">
        <f>VLOOKUP(LEFT($B47,6),Source!$B$9:$AQ$23,3,0)+VLOOKUP(LEFT($B47,6),Source!$B$9:$AQ$23,4,0)</f>
        <v>173.44916785155959</v>
      </c>
      <c r="J47" s="133">
        <f>SUM(E47:I47)</f>
        <v>2074.4869958012569</v>
      </c>
      <c r="K47" s="134">
        <f>VLOOKUP(LEFT($B47,6),Source!$B$9:$AQ$23,24,0)+VLOOKUP(LEFT($B47,6),Source!$B$9:$AQ$23,28,0)</f>
        <v>1367.8266171187265</v>
      </c>
      <c r="L47" s="134">
        <f>+J47-K47</f>
        <v>706.66037868253034</v>
      </c>
      <c r="M47" s="136">
        <f>+L47*((1+2.5%)^2)</f>
        <v>742.43506035333337</v>
      </c>
      <c r="N47" s="108">
        <v>100</v>
      </c>
      <c r="O47" s="134">
        <f>+N47*$M47</f>
        <v>74243.506035333339</v>
      </c>
      <c r="P47" s="40">
        <v>70</v>
      </c>
      <c r="Q47" s="136">
        <f t="shared" ref="Q47:Q61" si="4">+P47*$M47</f>
        <v>51970.454224733337</v>
      </c>
    </row>
    <row r="48" spans="2:17" x14ac:dyDescent="0.3">
      <c r="B48" s="269" t="s">
        <v>50</v>
      </c>
      <c r="C48" s="218"/>
      <c r="D48" s="270"/>
      <c r="E48" s="137">
        <f>VLOOKUP(LEFT($B48,6),Source!$B$9:$AQ$23,27,0)+VLOOKUP(LEFT($B48,6),Source!$B$9:$AQ$23,28,0)+VLOOKUP(LEFT($B48,6),Source!$B$9:$AQ$23,25,0)</f>
        <v>129.46786018317445</v>
      </c>
      <c r="F48" s="138">
        <f>VLOOKUP(LEFT($B48,6),Source!$B$9:$AQ$23,26,0)</f>
        <v>140.41975786813001</v>
      </c>
      <c r="G48" s="138">
        <f>VLOOKUP(LEFT($B48,6),Source!$B$9:$AQ$23,21,0)</f>
        <v>418.23407282000301</v>
      </c>
      <c r="H48" s="138">
        <f>VLOOKUP(LEFT($B48,6),Source!$B$9:$AQ$23,23,0)+VLOOKUP(LEFT($B48,6),Source!$B$9:$AQ$23,24,0)</f>
        <v>1344.9660690415872</v>
      </c>
      <c r="I48" s="139">
        <f>VLOOKUP(LEFT($B48,6),Source!$B$9:$AQ$23,3,0)+VLOOKUP(LEFT($B48,6),Source!$B$9:$AQ$23,4,0)</f>
        <v>281.3033287259816</v>
      </c>
      <c r="J48" s="137">
        <f t="shared" ref="J48:J61" si="5">SUM(E48:I48)</f>
        <v>2314.3910886388762</v>
      </c>
      <c r="K48" s="138">
        <f>VLOOKUP(LEFT($B48,6),Source!$B$9:$AQ$23,24,0)+VLOOKUP(LEFT($B48,6),Source!$B$9:$AQ$23,28,0)</f>
        <v>1274.4508268034667</v>
      </c>
      <c r="L48" s="138">
        <f t="shared" ref="L48:L61" si="6">+J48-K48</f>
        <v>1039.9402618354095</v>
      </c>
      <c r="M48" s="140">
        <f t="shared" ref="M48:M61" si="7">+L48*((1+2.5%)^2)</f>
        <v>1092.587237590827</v>
      </c>
      <c r="N48" s="105">
        <v>0</v>
      </c>
      <c r="O48" s="138">
        <f t="shared" ref="O48:O61" si="8">+N48*$M48</f>
        <v>0</v>
      </c>
      <c r="P48" s="38">
        <v>30</v>
      </c>
      <c r="Q48" s="140">
        <f t="shared" si="4"/>
        <v>32777.617127724814</v>
      </c>
    </row>
    <row r="49" spans="2:17" x14ac:dyDescent="0.3">
      <c r="B49" s="267" t="s">
        <v>51</v>
      </c>
      <c r="C49" s="222"/>
      <c r="D49" s="268"/>
      <c r="E49" s="141">
        <f>VLOOKUP(LEFT($B49,6),Source!$B$9:$AQ$23,27,0)+VLOOKUP(LEFT($B49,6),Source!$B$9:$AQ$23,28,0)+VLOOKUP(LEFT($B49,6),Source!$B$9:$AQ$23,25,0)</f>
        <v>74.84849012597104</v>
      </c>
      <c r="F49" s="142">
        <f>VLOOKUP(LEFT($B49,6),Source!$B$9:$AQ$23,26,0)</f>
        <v>8.5556375957643596</v>
      </c>
      <c r="G49" s="142">
        <f>VLOOKUP(LEFT($B49,6),Source!$B$9:$AQ$23,21,0)</f>
        <v>341.22649920444201</v>
      </c>
      <c r="H49" s="142">
        <f>VLOOKUP(LEFT($B49,6),Source!$B$9:$AQ$23,23,0)+VLOOKUP(LEFT($B49,6),Source!$B$9:$AQ$23,24,0)</f>
        <v>14.076606670164349</v>
      </c>
      <c r="I49" s="143">
        <f>VLOOKUP(LEFT($B49,6),Source!$B$9:$AQ$23,3,0)+VLOOKUP(LEFT($B49,6),Source!$B$9:$AQ$23,4,0)</f>
        <v>76.643437684700999</v>
      </c>
      <c r="J49" s="141">
        <f t="shared" si="5"/>
        <v>515.35067128104276</v>
      </c>
      <c r="K49" s="142">
        <f>VLOOKUP(LEFT($B49,6),Source!$B$9:$AQ$23,24,0)+VLOOKUP(LEFT($B49,6),Source!$B$9:$AQ$23,28,0)</f>
        <v>6.0492579463838299</v>
      </c>
      <c r="L49" s="142">
        <f t="shared" si="6"/>
        <v>509.30141333465895</v>
      </c>
      <c r="M49" s="144">
        <f t="shared" si="7"/>
        <v>535.08479738472602</v>
      </c>
      <c r="N49" s="109">
        <v>100</v>
      </c>
      <c r="O49" s="142">
        <f t="shared" si="8"/>
        <v>53508.479738472604</v>
      </c>
      <c r="P49" s="41">
        <v>100</v>
      </c>
      <c r="Q49" s="144">
        <f t="shared" si="4"/>
        <v>53508.479738472604</v>
      </c>
    </row>
    <row r="50" spans="2:17" x14ac:dyDescent="0.3">
      <c r="B50" s="269" t="s">
        <v>52</v>
      </c>
      <c r="C50" s="218"/>
      <c r="D50" s="270"/>
      <c r="E50" s="137">
        <f>VLOOKUP(LEFT($B50,6),Source!$B$9:$AQ$23,27,0)+VLOOKUP(LEFT($B50,6),Source!$B$9:$AQ$23,28,0)+VLOOKUP(LEFT($B50,6),Source!$B$9:$AQ$23,25,0)</f>
        <v>170.25240888149321</v>
      </c>
      <c r="F50" s="138">
        <f>VLOOKUP(LEFT($B50,6),Source!$B$9:$AQ$23,26,0)</f>
        <v>15.9460194660225</v>
      </c>
      <c r="G50" s="138">
        <f>VLOOKUP(LEFT($B50,6),Source!$B$9:$AQ$23,21,0)</f>
        <v>697.03373197761096</v>
      </c>
      <c r="H50" s="138">
        <f>VLOOKUP(LEFT($B50,6),Source!$B$9:$AQ$23,23,0)+VLOOKUP(LEFT($B50,6),Source!$B$9:$AQ$23,24,0)</f>
        <v>68.801574698147391</v>
      </c>
      <c r="I50" s="139">
        <f>VLOOKUP(LEFT($B50,6),Source!$B$9:$AQ$23,3,0)+VLOOKUP(LEFT($B50,6),Source!$B$9:$AQ$23,4,0)</f>
        <v>213.006181034886</v>
      </c>
      <c r="J50" s="137">
        <f t="shared" si="5"/>
        <v>1165.0399160581601</v>
      </c>
      <c r="K50" s="138">
        <f>VLOOKUP(LEFT($B50,6),Source!$B$9:$AQ$23,24,0)+VLOOKUP(LEFT($B50,6),Source!$B$9:$AQ$23,28,0)</f>
        <v>42.047689706447109</v>
      </c>
      <c r="L50" s="138">
        <f t="shared" si="6"/>
        <v>1122.992226351713</v>
      </c>
      <c r="M50" s="140">
        <f t="shared" si="7"/>
        <v>1179.8437078107684</v>
      </c>
      <c r="N50" s="105">
        <v>50</v>
      </c>
      <c r="O50" s="138">
        <f t="shared" si="8"/>
        <v>58992.18539053842</v>
      </c>
      <c r="P50" s="38">
        <v>0</v>
      </c>
      <c r="Q50" s="140">
        <f t="shared" si="4"/>
        <v>0</v>
      </c>
    </row>
    <row r="51" spans="2:17" x14ac:dyDescent="0.3">
      <c r="B51" s="267" t="s">
        <v>53</v>
      </c>
      <c r="C51" s="222"/>
      <c r="D51" s="268"/>
      <c r="E51" s="141">
        <f>VLOOKUP(LEFT($B51,6),Source!$B$9:$AQ$23,27,0)+VLOOKUP(LEFT($B51,6),Source!$B$9:$AQ$23,28,0)+VLOOKUP(LEFT($B51,6),Source!$B$9:$AQ$23,25,0)</f>
        <v>301.29801490394601</v>
      </c>
      <c r="F51" s="142">
        <f>VLOOKUP(LEFT($B51,6),Source!$B$9:$AQ$23,26,0)</f>
        <v>70.936914263755895</v>
      </c>
      <c r="G51" s="142">
        <f>VLOOKUP(LEFT($B51,6),Source!$B$9:$AQ$23,21,0)</f>
        <v>869.70135618247002</v>
      </c>
      <c r="H51" s="142">
        <f>VLOOKUP(LEFT($B51,6),Source!$B$9:$AQ$23,23,0)+VLOOKUP(LEFT($B51,6),Source!$B$9:$AQ$23,24,0)</f>
        <v>144.2622538154053</v>
      </c>
      <c r="I51" s="143">
        <f>VLOOKUP(LEFT($B51,6),Source!$B$9:$AQ$23,3,0)+VLOOKUP(LEFT($B51,6),Source!$B$9:$AQ$23,4,0)</f>
        <v>358.97799938856741</v>
      </c>
      <c r="J51" s="141">
        <f t="shared" si="5"/>
        <v>1745.1765385541448</v>
      </c>
      <c r="K51" s="142">
        <f>VLOOKUP(LEFT($B51,6),Source!$B$9:$AQ$23,24,0)+VLOOKUP(LEFT($B51,6),Source!$B$9:$AQ$23,28,0)</f>
        <v>105.56586762931741</v>
      </c>
      <c r="L51" s="142">
        <f t="shared" si="6"/>
        <v>1639.6106709248274</v>
      </c>
      <c r="M51" s="144">
        <f t="shared" si="7"/>
        <v>1722.6159611403966</v>
      </c>
      <c r="N51" s="109">
        <v>0</v>
      </c>
      <c r="O51" s="142">
        <f t="shared" si="8"/>
        <v>0</v>
      </c>
      <c r="P51" s="41">
        <v>50</v>
      </c>
      <c r="Q51" s="144">
        <f t="shared" si="4"/>
        <v>86130.798057019827</v>
      </c>
    </row>
    <row r="52" spans="2:17" x14ac:dyDescent="0.3">
      <c r="B52" s="269" t="s">
        <v>54</v>
      </c>
      <c r="C52" s="218"/>
      <c r="D52" s="270"/>
      <c r="E52" s="137">
        <f>VLOOKUP(LEFT($B52,6),Source!$B$9:$AQ$23,27,0)+VLOOKUP(LEFT($B52,6),Source!$B$9:$AQ$23,28,0)+VLOOKUP(LEFT($B52,6),Source!$B$9:$AQ$23,25,0)</f>
        <v>183.40978227768701</v>
      </c>
      <c r="F52" s="138">
        <f>VLOOKUP(LEFT($B52,6),Source!$B$9:$AQ$23,26,0)</f>
        <v>30.3262704757345</v>
      </c>
      <c r="G52" s="138">
        <f>VLOOKUP(LEFT($B52,6),Source!$B$9:$AQ$23,21,0)</f>
        <v>1272.7419266347399</v>
      </c>
      <c r="H52" s="138">
        <f>VLOOKUP(LEFT($B52,6),Source!$B$9:$AQ$23,23,0)+VLOOKUP(LEFT($B52,6),Source!$B$9:$AQ$23,24,0)</f>
        <v>39.54134076671118</v>
      </c>
      <c r="I52" s="139">
        <f>VLOOKUP(LEFT($B52,6),Source!$B$9:$AQ$23,3,0)+VLOOKUP(LEFT($B52,6),Source!$B$9:$AQ$23,4,0)</f>
        <v>129.62773713369489</v>
      </c>
      <c r="J52" s="137">
        <f t="shared" si="5"/>
        <v>1655.6470572885673</v>
      </c>
      <c r="K52" s="138">
        <f>VLOOKUP(LEFT($B52,6),Source!$B$9:$AQ$23,24,0)+VLOOKUP(LEFT($B52,6),Source!$B$9:$AQ$23,28,0)</f>
        <v>27.595302455268378</v>
      </c>
      <c r="L52" s="138">
        <f t="shared" si="6"/>
        <v>1628.0517548332989</v>
      </c>
      <c r="M52" s="140">
        <f t="shared" si="7"/>
        <v>1710.4718749217345</v>
      </c>
      <c r="N52" s="105">
        <v>50</v>
      </c>
      <c r="O52" s="138">
        <f t="shared" si="8"/>
        <v>85523.593746086728</v>
      </c>
      <c r="P52" s="38">
        <v>0</v>
      </c>
      <c r="Q52" s="140">
        <f t="shared" si="4"/>
        <v>0</v>
      </c>
    </row>
    <row r="53" spans="2:17" x14ac:dyDescent="0.3">
      <c r="B53" s="267" t="s">
        <v>55</v>
      </c>
      <c r="C53" s="222"/>
      <c r="D53" s="268"/>
      <c r="E53" s="141">
        <f>VLOOKUP(LEFT($B53,6),Source!$B$9:$AQ$23,27,0)+VLOOKUP(LEFT($B53,6),Source!$B$9:$AQ$23,28,0)+VLOOKUP(LEFT($B53,6),Source!$B$9:$AQ$23,25,0)</f>
        <v>83.110361857135075</v>
      </c>
      <c r="F53" s="142">
        <f>VLOOKUP(LEFT($B53,6),Source!$B$9:$AQ$23,26,0)</f>
        <v>9.9265787816519193</v>
      </c>
      <c r="G53" s="142">
        <f>VLOOKUP(LEFT($B53,6),Source!$B$9:$AQ$23,21,0)</f>
        <v>552.89517546418097</v>
      </c>
      <c r="H53" s="142">
        <f>VLOOKUP(LEFT($B53,6),Source!$B$9:$AQ$23,23,0)+VLOOKUP(LEFT($B53,6),Source!$B$9:$AQ$23,24,0)</f>
        <v>29.704199536485817</v>
      </c>
      <c r="I53" s="143">
        <f>VLOOKUP(LEFT($B53,6),Source!$B$9:$AQ$23,3,0)+VLOOKUP(LEFT($B53,6),Source!$B$9:$AQ$23,4,0)</f>
        <v>140.17393233062961</v>
      </c>
      <c r="J53" s="141">
        <f t="shared" si="5"/>
        <v>815.81024797008331</v>
      </c>
      <c r="K53" s="142">
        <f>VLOOKUP(LEFT($B53,6),Source!$B$9:$AQ$23,24,0)+VLOOKUP(LEFT($B53,6),Source!$B$9:$AQ$23,28,0)</f>
        <v>4.6949875309885796</v>
      </c>
      <c r="L53" s="142">
        <f t="shared" si="6"/>
        <v>811.11526043909475</v>
      </c>
      <c r="M53" s="144">
        <f t="shared" si="7"/>
        <v>852.17797049882381</v>
      </c>
      <c r="N53" s="109">
        <v>50</v>
      </c>
      <c r="O53" s="142">
        <f t="shared" si="8"/>
        <v>42608.898524941193</v>
      </c>
      <c r="P53" s="41">
        <v>50</v>
      </c>
      <c r="Q53" s="144">
        <f t="shared" si="4"/>
        <v>42608.898524941193</v>
      </c>
    </row>
    <row r="54" spans="2:17" x14ac:dyDescent="0.3">
      <c r="B54" s="269" t="s">
        <v>56</v>
      </c>
      <c r="C54" s="218"/>
      <c r="D54" s="270"/>
      <c r="E54" s="137">
        <f>VLOOKUP(LEFT($B54,6),Source!$B$9:$AQ$23,27,0)+VLOOKUP(LEFT($B54,6),Source!$B$9:$AQ$23,28,0)+VLOOKUP(LEFT($B54,6),Source!$B$9:$AQ$23,25,0)</f>
        <v>235.49475998158107</v>
      </c>
      <c r="F54" s="138">
        <f>VLOOKUP(LEFT($B54,6),Source!$B$9:$AQ$23,26,0)</f>
        <v>36.196833203291803</v>
      </c>
      <c r="G54" s="138">
        <f>VLOOKUP(LEFT($B54,6),Source!$B$9:$AQ$23,21,0)</f>
        <v>1375.07266334932</v>
      </c>
      <c r="H54" s="138">
        <f>VLOOKUP(LEFT($B54,6),Source!$B$9:$AQ$23,23,0)+VLOOKUP(LEFT($B54,6),Source!$B$9:$AQ$23,24,0)</f>
        <v>69.41064065910976</v>
      </c>
      <c r="I54" s="139">
        <f>VLOOKUP(LEFT($B54,6),Source!$B$9:$AQ$23,3,0)+VLOOKUP(LEFT($B54,6),Source!$B$9:$AQ$23,4,0)</f>
        <v>210.82532038653221</v>
      </c>
      <c r="J54" s="137">
        <f t="shared" si="5"/>
        <v>1927.000217579835</v>
      </c>
      <c r="K54" s="138">
        <f>VLOOKUP(LEFT($B54,6),Source!$B$9:$AQ$23,24,0)+VLOOKUP(LEFT($B54,6),Source!$B$9:$AQ$23,28,0)</f>
        <v>32.13102105596456</v>
      </c>
      <c r="L54" s="138">
        <f t="shared" si="6"/>
        <v>1894.8691965238704</v>
      </c>
      <c r="M54" s="140">
        <f t="shared" si="7"/>
        <v>1990.7969495978912</v>
      </c>
      <c r="N54" s="105">
        <v>0</v>
      </c>
      <c r="O54" s="138">
        <f t="shared" si="8"/>
        <v>0</v>
      </c>
      <c r="P54" s="38">
        <v>50</v>
      </c>
      <c r="Q54" s="140">
        <f t="shared" si="4"/>
        <v>99539.847479894554</v>
      </c>
    </row>
    <row r="55" spans="2:17" x14ac:dyDescent="0.3">
      <c r="B55" s="267" t="s">
        <v>57</v>
      </c>
      <c r="C55" s="222"/>
      <c r="D55" s="268"/>
      <c r="E55" s="141">
        <f>VLOOKUP(LEFT($B55,6),Source!$B$9:$AQ$23,27,0)+VLOOKUP(LEFT($B55,6),Source!$B$9:$AQ$23,28,0)+VLOOKUP(LEFT($B55,6),Source!$B$9:$AQ$23,25,0)</f>
        <v>27.181932571009639</v>
      </c>
      <c r="F55" s="142">
        <f>VLOOKUP(LEFT($B55,6),Source!$B$9:$AQ$23,26,0)</f>
        <v>0.87995097931221999</v>
      </c>
      <c r="G55" s="142">
        <f>VLOOKUP(LEFT($B55,6),Source!$B$9:$AQ$23,21,0)</f>
        <v>176.89886681146601</v>
      </c>
      <c r="H55" s="142">
        <f>VLOOKUP(LEFT($B55,6),Source!$B$9:$AQ$23,23,0)+VLOOKUP(LEFT($B55,6),Source!$B$9:$AQ$23,24,0)</f>
        <v>8.3914348441059197</v>
      </c>
      <c r="I55" s="143">
        <f>VLOOKUP(LEFT($B55,6),Source!$B$9:$AQ$23,3,0)+VLOOKUP(LEFT($B55,6),Source!$B$9:$AQ$23,4,0)</f>
        <v>16.256537726891089</v>
      </c>
      <c r="J55" s="141">
        <f t="shared" si="5"/>
        <v>229.60872293278487</v>
      </c>
      <c r="K55" s="142">
        <f>VLOOKUP(LEFT($B55,6),Source!$B$9:$AQ$23,24,0)+VLOOKUP(LEFT($B55,6),Source!$B$9:$AQ$23,28,0)</f>
        <v>2.2152339759137103</v>
      </c>
      <c r="L55" s="142">
        <f t="shared" si="6"/>
        <v>227.39348895687115</v>
      </c>
      <c r="M55" s="144">
        <f t="shared" si="7"/>
        <v>238.90528433531273</v>
      </c>
      <c r="N55" s="109">
        <v>50</v>
      </c>
      <c r="O55" s="142">
        <f t="shared" si="8"/>
        <v>11945.264216765636</v>
      </c>
      <c r="P55" s="41">
        <v>50</v>
      </c>
      <c r="Q55" s="144">
        <f t="shared" si="4"/>
        <v>11945.264216765636</v>
      </c>
    </row>
    <row r="56" spans="2:17" x14ac:dyDescent="0.3">
      <c r="B56" s="269" t="s">
        <v>58</v>
      </c>
      <c r="C56" s="218"/>
      <c r="D56" s="270"/>
      <c r="E56" s="137">
        <f>VLOOKUP(LEFT($B56,6),Source!$B$9:$AQ$23,27,0)+VLOOKUP(LEFT($B56,6),Source!$B$9:$AQ$23,28,0)+VLOOKUP(LEFT($B56,6),Source!$B$9:$AQ$23,25,0)</f>
        <v>129.33857482352153</v>
      </c>
      <c r="F56" s="138">
        <f>VLOOKUP(LEFT($B56,6),Source!$B$9:$AQ$23,26,0)</f>
        <v>14.278193282526299</v>
      </c>
      <c r="G56" s="138">
        <f>VLOOKUP(LEFT($B56,6),Source!$B$9:$AQ$23,21,0)</f>
        <v>381.90045207608301</v>
      </c>
      <c r="H56" s="138">
        <f>VLOOKUP(LEFT($B56,6),Source!$B$9:$AQ$23,23,0)+VLOOKUP(LEFT($B56,6),Source!$B$9:$AQ$23,24,0)</f>
        <v>128.95017598551391</v>
      </c>
      <c r="I56" s="139">
        <f>VLOOKUP(LEFT($B56,6),Source!$B$9:$AQ$23,3,0)+VLOOKUP(LEFT($B56,6),Source!$B$9:$AQ$23,4,0)</f>
        <v>62.466828675506299</v>
      </c>
      <c r="J56" s="137">
        <f t="shared" si="5"/>
        <v>716.93422484315101</v>
      </c>
      <c r="K56" s="138">
        <f>VLOOKUP(LEFT($B56,6),Source!$B$9:$AQ$23,24,0)+VLOOKUP(LEFT($B56,6),Source!$B$9:$AQ$23,28,0)</f>
        <v>181.83829634474529</v>
      </c>
      <c r="L56" s="138">
        <f t="shared" si="6"/>
        <v>535.09592849840578</v>
      </c>
      <c r="M56" s="140">
        <f t="shared" si="7"/>
        <v>562.18515987863748</v>
      </c>
      <c r="N56" s="105">
        <v>50</v>
      </c>
      <c r="O56" s="138">
        <f t="shared" si="8"/>
        <v>28109.257993931875</v>
      </c>
      <c r="P56" s="38">
        <v>50</v>
      </c>
      <c r="Q56" s="140">
        <f t="shared" si="4"/>
        <v>28109.257993931875</v>
      </c>
    </row>
    <row r="57" spans="2:17" x14ac:dyDescent="0.3">
      <c r="B57" s="267" t="s">
        <v>59</v>
      </c>
      <c r="C57" s="222"/>
      <c r="D57" s="268"/>
      <c r="E57" s="141">
        <f>VLOOKUP(LEFT($B57,6),Source!$B$9:$AQ$23,27,0)+VLOOKUP(LEFT($B57,6),Source!$B$9:$AQ$23,28,0)+VLOOKUP(LEFT($B57,6),Source!$B$9:$AQ$23,25,0)</f>
        <v>66.536236258483285</v>
      </c>
      <c r="F57" s="142">
        <f>VLOOKUP(LEFT($B57,6),Source!$B$9:$AQ$23,26,0)</f>
        <v>0.95847783049558999</v>
      </c>
      <c r="G57" s="142">
        <f>VLOOKUP(LEFT($B57,6),Source!$B$9:$AQ$23,21,0)</f>
        <v>386.74502523594902</v>
      </c>
      <c r="H57" s="142">
        <f>VLOOKUP(LEFT($B57,6),Source!$B$9:$AQ$23,23,0)+VLOOKUP(LEFT($B57,6),Source!$B$9:$AQ$23,24,0)</f>
        <v>26.293618901000002</v>
      </c>
      <c r="I57" s="143">
        <f>VLOOKUP(LEFT($B57,6),Source!$B$9:$AQ$23,3,0)+VLOOKUP(LEFT($B57,6),Source!$B$9:$AQ$23,4,0)</f>
        <v>52.422234847531499</v>
      </c>
      <c r="J57" s="141">
        <f t="shared" si="5"/>
        <v>532.95559307345934</v>
      </c>
      <c r="K57" s="142">
        <f>VLOOKUP(LEFT($B57,6),Source!$B$9:$AQ$23,24,0)+VLOOKUP(LEFT($B57,6),Source!$B$9:$AQ$23,28,0)</f>
        <v>13.99366890358997</v>
      </c>
      <c r="L57" s="142">
        <f t="shared" si="6"/>
        <v>518.96192416986935</v>
      </c>
      <c r="M57" s="144">
        <f t="shared" si="7"/>
        <v>545.23437158096897</v>
      </c>
      <c r="N57" s="109">
        <v>100</v>
      </c>
      <c r="O57" s="142">
        <f t="shared" si="8"/>
        <v>54523.437158096895</v>
      </c>
      <c r="P57" s="41">
        <v>50</v>
      </c>
      <c r="Q57" s="144">
        <f t="shared" si="4"/>
        <v>27261.718579048447</v>
      </c>
    </row>
    <row r="58" spans="2:17" x14ac:dyDescent="0.3">
      <c r="B58" s="269" t="s">
        <v>60</v>
      </c>
      <c r="C58" s="218"/>
      <c r="D58" s="270"/>
      <c r="E58" s="137">
        <f>VLOOKUP(LEFT($B58,6),Source!$B$9:$AQ$23,27,0)+VLOOKUP(LEFT($B58,6),Source!$B$9:$AQ$23,28,0)+VLOOKUP(LEFT($B58,6),Source!$B$9:$AQ$23,25,0)</f>
        <v>148.30667323515951</v>
      </c>
      <c r="F58" s="138">
        <f>VLOOKUP(LEFT($B58,6),Source!$B$9:$AQ$23,26,0)</f>
        <v>5.4407875945140196</v>
      </c>
      <c r="G58" s="138">
        <f>VLOOKUP(LEFT($B58,6),Source!$B$9:$AQ$23,21,0)</f>
        <v>424.75069558167098</v>
      </c>
      <c r="H58" s="138">
        <f>VLOOKUP(LEFT($B58,6),Source!$B$9:$AQ$23,23,0)+VLOOKUP(LEFT($B58,6),Source!$B$9:$AQ$23,24,0)</f>
        <v>58.136387537204698</v>
      </c>
      <c r="I58" s="139">
        <f>VLOOKUP(LEFT($B58,6),Source!$B$9:$AQ$23,3,0)+VLOOKUP(LEFT($B58,6),Source!$B$9:$AQ$23,4,0)</f>
        <v>118.4822591989292</v>
      </c>
      <c r="J58" s="137">
        <f t="shared" si="5"/>
        <v>755.11680314747844</v>
      </c>
      <c r="K58" s="138">
        <f>VLOOKUP(LEFT($B58,6),Source!$B$9:$AQ$23,24,0)+VLOOKUP(LEFT($B58,6),Source!$B$9:$AQ$23,28,0)</f>
        <v>100.55310206905101</v>
      </c>
      <c r="L58" s="138">
        <f t="shared" si="6"/>
        <v>654.56370107842747</v>
      </c>
      <c r="M58" s="140">
        <f t="shared" si="7"/>
        <v>687.70098844552285</v>
      </c>
      <c r="N58" s="105">
        <v>0</v>
      </c>
      <c r="O58" s="138">
        <f t="shared" si="8"/>
        <v>0</v>
      </c>
      <c r="P58" s="38">
        <v>50</v>
      </c>
      <c r="Q58" s="140">
        <f t="shared" si="4"/>
        <v>34385.049422276141</v>
      </c>
    </row>
    <row r="59" spans="2:17" x14ac:dyDescent="0.3">
      <c r="B59" s="267" t="s">
        <v>61</v>
      </c>
      <c r="C59" s="222"/>
      <c r="D59" s="268"/>
      <c r="E59" s="141">
        <f>VLOOKUP(LEFT($B59,6),Source!$B$9:$AQ$23,27,0)+VLOOKUP(LEFT($B59,6),Source!$B$9:$AQ$23,28,0)+VLOOKUP(LEFT($B59,6),Source!$B$9:$AQ$23,25,0)</f>
        <v>89.754380796910368</v>
      </c>
      <c r="F59" s="142">
        <f>VLOOKUP(LEFT($B59,6),Source!$B$9:$AQ$23,26,0)</f>
        <v>3.3393993600990002</v>
      </c>
      <c r="G59" s="142">
        <f>VLOOKUP(LEFT($B59,6),Source!$B$9:$AQ$23,21,0)</f>
        <v>617.27472499509395</v>
      </c>
      <c r="H59" s="142">
        <f>VLOOKUP(LEFT($B59,6),Source!$B$9:$AQ$23,23,0)+VLOOKUP(LEFT($B59,6),Source!$B$9:$AQ$23,24,0)</f>
        <v>19.95973294065713</v>
      </c>
      <c r="I59" s="143">
        <f>VLOOKUP(LEFT($B59,6),Source!$B$9:$AQ$23,3,0)+VLOOKUP(LEFT($B59,6),Source!$B$9:$AQ$23,4,0)</f>
        <v>62.019675946377305</v>
      </c>
      <c r="J59" s="141">
        <f t="shared" si="5"/>
        <v>792.34791403913778</v>
      </c>
      <c r="K59" s="142">
        <f>VLOOKUP(LEFT($B59,6),Source!$B$9:$AQ$23,24,0)+VLOOKUP(LEFT($B59,6),Source!$B$9:$AQ$23,28,0)</f>
        <v>4.2949417733754593</v>
      </c>
      <c r="L59" s="142">
        <f t="shared" si="6"/>
        <v>788.05297226576226</v>
      </c>
      <c r="M59" s="144">
        <f t="shared" si="7"/>
        <v>827.94815398671642</v>
      </c>
      <c r="N59" s="109">
        <v>25</v>
      </c>
      <c r="O59" s="142">
        <f t="shared" si="8"/>
        <v>20698.703849667909</v>
      </c>
      <c r="P59" s="41">
        <v>25</v>
      </c>
      <c r="Q59" s="144">
        <f t="shared" si="4"/>
        <v>20698.703849667909</v>
      </c>
    </row>
    <row r="60" spans="2:17" x14ac:dyDescent="0.3">
      <c r="B60" s="269" t="s">
        <v>62</v>
      </c>
      <c r="C60" s="218"/>
      <c r="D60" s="270"/>
      <c r="E60" s="137">
        <f>VLOOKUP(LEFT($B60,6),Source!$B$9:$AQ$23,27,0)+VLOOKUP(LEFT($B60,6),Source!$B$9:$AQ$23,28,0)+VLOOKUP(LEFT($B60,6),Source!$B$9:$AQ$23,25,0)</f>
        <v>59.768844691946136</v>
      </c>
      <c r="F60" s="138">
        <f>VLOOKUP(LEFT($B60,6),Source!$B$9:$AQ$23,26,0)</f>
        <v>0.60671352786598998</v>
      </c>
      <c r="G60" s="138">
        <f>VLOOKUP(LEFT($B60,6),Source!$B$9:$AQ$23,21,0)</f>
        <v>430.97022968375001</v>
      </c>
      <c r="H60" s="138">
        <f>VLOOKUP(LEFT($B60,6),Source!$B$9:$AQ$23,23,0)+VLOOKUP(LEFT($B60,6),Source!$B$9:$AQ$23,24,0)</f>
        <v>20.07108181088168</v>
      </c>
      <c r="I60" s="139">
        <f>VLOOKUP(LEFT($B60,6),Source!$B$9:$AQ$23,3,0)+VLOOKUP(LEFT($B60,6),Source!$B$9:$AQ$23,4,0)</f>
        <v>54.326969584202494</v>
      </c>
      <c r="J60" s="137">
        <f t="shared" si="5"/>
        <v>565.74383929864632</v>
      </c>
      <c r="K60" s="138">
        <f>VLOOKUP(LEFT($B60,6),Source!$B$9:$AQ$23,24,0)+VLOOKUP(LEFT($B60,6),Source!$B$9:$AQ$23,28,0)</f>
        <v>2.6776950679458298</v>
      </c>
      <c r="L60" s="138">
        <f t="shared" si="6"/>
        <v>563.0661442307005</v>
      </c>
      <c r="M60" s="140">
        <f t="shared" si="7"/>
        <v>591.57136778237964</v>
      </c>
      <c r="N60" s="105">
        <v>25</v>
      </c>
      <c r="O60" s="138">
        <f t="shared" si="8"/>
        <v>14789.284194559492</v>
      </c>
      <c r="P60" s="38">
        <v>25</v>
      </c>
      <c r="Q60" s="140">
        <f t="shared" si="4"/>
        <v>14789.284194559492</v>
      </c>
    </row>
    <row r="61" spans="2:17" x14ac:dyDescent="0.3">
      <c r="B61" s="271" t="s">
        <v>63</v>
      </c>
      <c r="C61" s="272"/>
      <c r="D61" s="273"/>
      <c r="E61" s="145">
        <f>VLOOKUP(LEFT($B61,6),Source!$B$9:$AQ$23,27,0)+VLOOKUP(LEFT($B61,6),Source!$B$9:$AQ$23,28,0)+VLOOKUP(LEFT($B61,6),Source!$B$9:$AQ$23,25,0)</f>
        <v>91.560610954627577</v>
      </c>
      <c r="F61" s="146">
        <f>VLOOKUP(LEFT($B61,6),Source!$B$9:$AQ$23,26,0)</f>
        <v>0.39556722980265002</v>
      </c>
      <c r="G61" s="146">
        <f>VLOOKUP(LEFT($B61,6),Source!$B$9:$AQ$23,21,0)</f>
        <v>431.16602504874697</v>
      </c>
      <c r="H61" s="146">
        <f>VLOOKUP(LEFT($B61,6),Source!$B$9:$AQ$23,23,0)+VLOOKUP(LEFT($B61,6),Source!$B$9:$AQ$23,24,0)</f>
        <v>72.654652464787603</v>
      </c>
      <c r="I61" s="147">
        <f>VLOOKUP(LEFT($B61,6),Source!$B$9:$AQ$23,3,0)+VLOOKUP(LEFT($B61,6),Source!$B$9:$AQ$23,4,0)</f>
        <v>90.547961108573816</v>
      </c>
      <c r="J61" s="145">
        <f t="shared" si="5"/>
        <v>686.32481680653859</v>
      </c>
      <c r="K61" s="146">
        <f>VLOOKUP(LEFT($B61,6),Source!$B$9:$AQ$23,24,0)+VLOOKUP(LEFT($B61,6),Source!$B$9:$AQ$23,28,0)</f>
        <v>23.966563605604101</v>
      </c>
      <c r="L61" s="146">
        <f t="shared" si="6"/>
        <v>662.35825320093454</v>
      </c>
      <c r="M61" s="148">
        <f t="shared" si="7"/>
        <v>695.89013976923184</v>
      </c>
      <c r="N61" s="106">
        <v>50</v>
      </c>
      <c r="O61" s="146">
        <f t="shared" si="8"/>
        <v>34794.506988461595</v>
      </c>
      <c r="P61" s="107">
        <v>50</v>
      </c>
      <c r="Q61" s="148">
        <f t="shared" si="4"/>
        <v>34794.506988461595</v>
      </c>
    </row>
    <row r="62" spans="2:17" x14ac:dyDescent="0.3">
      <c r="E62" s="1"/>
      <c r="F62" s="1"/>
      <c r="G62" s="1"/>
      <c r="H62" s="1"/>
      <c r="I62" s="1"/>
      <c r="J62" s="1"/>
      <c r="K62" s="1"/>
      <c r="L62" s="1"/>
      <c r="M62" s="149"/>
      <c r="N62" s="150">
        <f>SUM(N47:N61)</f>
        <v>650</v>
      </c>
      <c r="O62" s="151">
        <f t="shared" ref="O62:Q62" si="9">SUM(O47:O61)</f>
        <v>479737.1178368557</v>
      </c>
      <c r="P62" s="151">
        <f t="shared" si="9"/>
        <v>650</v>
      </c>
      <c r="Q62" s="152">
        <f t="shared" si="9"/>
        <v>538519.88039749744</v>
      </c>
    </row>
  </sheetData>
  <mergeCells count="31">
    <mergeCell ref="N45:Q45"/>
    <mergeCell ref="B59:D59"/>
    <mergeCell ref="B60:D60"/>
    <mergeCell ref="B61:D61"/>
    <mergeCell ref="B53:D53"/>
    <mergeCell ref="B54:D54"/>
    <mergeCell ref="B55:D55"/>
    <mergeCell ref="B56:D56"/>
    <mergeCell ref="B57:D57"/>
    <mergeCell ref="B58:D58"/>
    <mergeCell ref="B47:D47"/>
    <mergeCell ref="B48:D48"/>
    <mergeCell ref="B49:D49"/>
    <mergeCell ref="B50:D50"/>
    <mergeCell ref="B51:D51"/>
    <mergeCell ref="B52:D52"/>
    <mergeCell ref="B1:L1"/>
    <mergeCell ref="B3:L6"/>
    <mergeCell ref="K8:L8"/>
    <mergeCell ref="C29:C30"/>
    <mergeCell ref="B45:D46"/>
    <mergeCell ref="E45:M45"/>
    <mergeCell ref="B8:B9"/>
    <mergeCell ref="C8:I8"/>
    <mergeCell ref="B16:B17"/>
    <mergeCell ref="C16:I16"/>
    <mergeCell ref="B23:L23"/>
    <mergeCell ref="B25:L27"/>
    <mergeCell ref="B29:B30"/>
    <mergeCell ref="D29:E29"/>
    <mergeCell ref="B40:L43"/>
  </mergeCells>
  <printOptions horizontalCentered="1" verticalCentered="1"/>
  <pageMargins left="0.70866141732283472" right="0.70866141732283472" top="0.74803149606299213" bottom="0.74803149606299213" header="0.31496062992125984" footer="0.31496062992125984"/>
  <pageSetup paperSize="9" scale="3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C2845-687C-4E2D-BBE1-D9C7EC04BF02}">
  <sheetPr>
    <pageSetUpPr fitToPage="1"/>
  </sheetPr>
  <dimension ref="B1:AQ46"/>
  <sheetViews>
    <sheetView showGridLines="0" zoomScale="85" zoomScaleNormal="85" workbookViewId="0">
      <selection activeCell="B20" sqref="B22:K34"/>
    </sheetView>
  </sheetViews>
  <sheetFormatPr baseColWidth="10" defaultColWidth="33.84375" defaultRowHeight="13.5" x14ac:dyDescent="0.3"/>
  <cols>
    <col min="1" max="1" width="3.23046875" customWidth="1"/>
    <col min="2" max="2" width="10.07421875" bestFit="1" customWidth="1"/>
    <col min="3" max="3" width="77.07421875" bestFit="1" customWidth="1"/>
    <col min="4" max="4" width="11.07421875" bestFit="1" customWidth="1"/>
    <col min="5" max="5" width="10.69140625" bestFit="1" customWidth="1"/>
    <col min="6" max="6" width="10.07421875" bestFit="1" customWidth="1"/>
    <col min="7" max="7" width="12.23046875" customWidth="1"/>
    <col min="8" max="8" width="11.61328125" bestFit="1" customWidth="1"/>
    <col min="9" max="9" width="10.921875" bestFit="1" customWidth="1"/>
    <col min="10" max="10" width="7.69140625" bestFit="1" customWidth="1"/>
    <col min="11" max="11" width="7.53515625" bestFit="1" customWidth="1"/>
    <col min="12" max="12" width="7.23046875" bestFit="1" customWidth="1"/>
    <col min="13" max="13" width="11.07421875" bestFit="1" customWidth="1"/>
    <col min="14" max="14" width="10.921875" bestFit="1" customWidth="1"/>
    <col min="15" max="15" width="11.3828125" bestFit="1" customWidth="1"/>
    <col min="16" max="16" width="11.53515625" bestFit="1" customWidth="1"/>
    <col min="17" max="17" width="12.84375" bestFit="1" customWidth="1"/>
    <col min="18" max="18" width="9.3828125" bestFit="1" customWidth="1"/>
    <col min="19" max="19" width="9.23046875" bestFit="1" customWidth="1"/>
    <col min="20" max="20" width="7.69140625" bestFit="1" customWidth="1"/>
    <col min="21" max="21" width="7.53515625" bestFit="1" customWidth="1"/>
    <col min="22" max="22" width="10.84375" bestFit="1" customWidth="1"/>
    <col min="23" max="23" width="12.4609375" bestFit="1" customWidth="1"/>
    <col min="24" max="25" width="11.921875" bestFit="1" customWidth="1"/>
    <col min="26" max="26" width="11.07421875" bestFit="1" customWidth="1"/>
    <col min="27" max="27" width="7.61328125" bestFit="1" customWidth="1"/>
    <col min="28" max="28" width="8.84375" bestFit="1" customWidth="1"/>
    <col min="29" max="29" width="14.3828125" bestFit="1" customWidth="1"/>
    <col min="30" max="36" width="12.23046875" bestFit="1" customWidth="1"/>
    <col min="37" max="37" width="10.921875" bestFit="1" customWidth="1"/>
    <col min="38" max="38" width="9.15234375" bestFit="1" customWidth="1"/>
    <col min="39" max="39" width="11.84375" bestFit="1" customWidth="1"/>
    <col min="40" max="40" width="12.84375" bestFit="1" customWidth="1"/>
    <col min="41" max="43" width="8.15234375" bestFit="1" customWidth="1"/>
  </cols>
  <sheetData>
    <row r="1" spans="2:43" ht="20" thickBot="1" x14ac:dyDescent="0.4">
      <c r="B1" s="240" t="s">
        <v>196</v>
      </c>
      <c r="C1" s="241"/>
      <c r="D1" s="241"/>
      <c r="E1" s="241"/>
      <c r="F1" s="241"/>
      <c r="G1" s="241"/>
      <c r="H1" s="241"/>
      <c r="I1" s="241"/>
      <c r="J1" s="241"/>
      <c r="K1" s="242"/>
    </row>
    <row r="2" spans="2:43" ht="14" thickTop="1" x14ac:dyDescent="0.3"/>
    <row r="3" spans="2:43" ht="13.25" customHeight="1" x14ac:dyDescent="0.3">
      <c r="B3" s="219" t="s">
        <v>227</v>
      </c>
      <c r="C3" s="220"/>
      <c r="D3" s="220"/>
      <c r="E3" s="220"/>
      <c r="F3" s="220"/>
      <c r="G3" s="220"/>
      <c r="H3" s="220"/>
      <c r="I3" s="220"/>
      <c r="J3" s="220"/>
      <c r="K3" s="221"/>
    </row>
    <row r="4" spans="2:43" ht="14" thickBot="1" x14ac:dyDescent="0.35">
      <c r="B4" s="200"/>
      <c r="C4" s="201"/>
      <c r="D4" s="201"/>
      <c r="E4" s="201"/>
      <c r="F4" s="201"/>
      <c r="G4" s="201"/>
      <c r="H4" s="201"/>
      <c r="I4" s="201"/>
      <c r="J4" s="201"/>
      <c r="K4" s="202"/>
    </row>
    <row r="5" spans="2:43" ht="14" thickTop="1" x14ac:dyDescent="0.3">
      <c r="B5" s="185" t="s">
        <v>233</v>
      </c>
    </row>
    <row r="7" spans="2:43" x14ac:dyDescent="0.3">
      <c r="B7" s="276" t="s">
        <v>118</v>
      </c>
      <c r="C7" s="277"/>
      <c r="D7" s="276" t="s">
        <v>119</v>
      </c>
      <c r="E7" s="278"/>
      <c r="F7" s="278"/>
      <c r="G7" s="278"/>
      <c r="H7" s="278"/>
      <c r="I7" s="278"/>
      <c r="J7" s="278"/>
      <c r="K7" s="278"/>
      <c r="L7" s="278"/>
      <c r="M7" s="278"/>
      <c r="N7" s="278"/>
      <c r="O7" s="278"/>
      <c r="P7" s="277"/>
      <c r="Q7" s="276" t="s">
        <v>120</v>
      </c>
      <c r="R7" s="278"/>
      <c r="S7" s="278"/>
      <c r="T7" s="278"/>
      <c r="U7" s="278"/>
      <c r="V7" s="277"/>
      <c r="W7" s="276" t="s">
        <v>121</v>
      </c>
      <c r="X7" s="278"/>
      <c r="Y7" s="278"/>
      <c r="Z7" s="278"/>
      <c r="AA7" s="278"/>
      <c r="AB7" s="278"/>
      <c r="AC7" s="278"/>
      <c r="AD7" s="278"/>
      <c r="AE7" s="278"/>
      <c r="AF7" s="278"/>
      <c r="AG7" s="278"/>
      <c r="AH7" s="278"/>
      <c r="AI7" s="278"/>
      <c r="AJ7" s="278"/>
      <c r="AK7" s="278"/>
      <c r="AL7" s="278"/>
      <c r="AM7" s="278"/>
      <c r="AN7" s="278"/>
      <c r="AO7" s="277"/>
      <c r="AP7" s="276" t="s">
        <v>122</v>
      </c>
      <c r="AQ7" s="277"/>
    </row>
    <row r="8" spans="2:43" ht="121.5" x14ac:dyDescent="0.3">
      <c r="B8" s="102" t="s">
        <v>123</v>
      </c>
      <c r="C8" s="104" t="s">
        <v>124</v>
      </c>
      <c r="D8" s="102" t="s">
        <v>125</v>
      </c>
      <c r="E8" s="103" t="s">
        <v>126</v>
      </c>
      <c r="F8" s="103" t="s">
        <v>127</v>
      </c>
      <c r="G8" s="103" t="s">
        <v>128</v>
      </c>
      <c r="H8" s="103" t="s">
        <v>129</v>
      </c>
      <c r="I8" s="103" t="s">
        <v>130</v>
      </c>
      <c r="J8" s="103" t="s">
        <v>131</v>
      </c>
      <c r="K8" s="103" t="s">
        <v>132</v>
      </c>
      <c r="L8" s="103" t="s">
        <v>133</v>
      </c>
      <c r="M8" s="103" t="s">
        <v>134</v>
      </c>
      <c r="N8" s="103" t="s">
        <v>135</v>
      </c>
      <c r="O8" s="103" t="s">
        <v>136</v>
      </c>
      <c r="P8" s="104" t="s">
        <v>137</v>
      </c>
      <c r="Q8" s="102" t="s">
        <v>138</v>
      </c>
      <c r="R8" s="103" t="s">
        <v>139</v>
      </c>
      <c r="S8" s="103" t="s">
        <v>140</v>
      </c>
      <c r="T8" s="103" t="s">
        <v>141</v>
      </c>
      <c r="U8" s="103" t="s">
        <v>142</v>
      </c>
      <c r="V8" s="104" t="s">
        <v>143</v>
      </c>
      <c r="W8" s="102" t="s">
        <v>144</v>
      </c>
      <c r="X8" s="103" t="s">
        <v>145</v>
      </c>
      <c r="Y8" s="103" t="s">
        <v>146</v>
      </c>
      <c r="Z8" s="103" t="s">
        <v>147</v>
      </c>
      <c r="AA8" s="103" t="s">
        <v>148</v>
      </c>
      <c r="AB8" s="103" t="s">
        <v>149</v>
      </c>
      <c r="AC8" s="103" t="s">
        <v>150</v>
      </c>
      <c r="AD8" s="103" t="s">
        <v>151</v>
      </c>
      <c r="AE8" s="103" t="s">
        <v>152</v>
      </c>
      <c r="AF8" s="103" t="s">
        <v>153</v>
      </c>
      <c r="AG8" s="103" t="s">
        <v>154</v>
      </c>
      <c r="AH8" s="103" t="s">
        <v>155</v>
      </c>
      <c r="AI8" s="103" t="s">
        <v>156</v>
      </c>
      <c r="AJ8" s="103" t="s">
        <v>157</v>
      </c>
      <c r="AK8" s="103" t="s">
        <v>158</v>
      </c>
      <c r="AL8" s="103" t="s">
        <v>159</v>
      </c>
      <c r="AM8" s="103" t="s">
        <v>160</v>
      </c>
      <c r="AN8" s="103" t="s">
        <v>161</v>
      </c>
      <c r="AO8" s="104" t="s">
        <v>162</v>
      </c>
      <c r="AP8" s="102" t="s">
        <v>163</v>
      </c>
      <c r="AQ8" s="104" t="s">
        <v>164</v>
      </c>
    </row>
    <row r="9" spans="2:43" x14ac:dyDescent="0.3">
      <c r="B9" s="116" t="s">
        <v>165</v>
      </c>
      <c r="C9" s="160" t="s">
        <v>166</v>
      </c>
      <c r="D9" s="117">
        <v>23.217964218390001</v>
      </c>
      <c r="E9" s="118">
        <v>67.329996890183807</v>
      </c>
      <c r="F9" s="118">
        <v>39.788694673754897</v>
      </c>
      <c r="G9" s="118">
        <v>99.513111433683406</v>
      </c>
      <c r="H9" s="118">
        <v>63.285780400336002</v>
      </c>
      <c r="I9" s="118">
        <v>15.7953866924673</v>
      </c>
      <c r="J9" s="118">
        <v>24.994461932575799</v>
      </c>
      <c r="K9" s="118">
        <v>45.2587751420497</v>
      </c>
      <c r="L9" s="118">
        <v>47.917144834941602</v>
      </c>
      <c r="M9" s="118">
        <v>81.011788994556099</v>
      </c>
      <c r="N9" s="118">
        <v>5.9125566228877204</v>
      </c>
      <c r="O9" s="118">
        <v>514.02566183582496</v>
      </c>
      <c r="P9" s="119">
        <v>58.067340965682</v>
      </c>
      <c r="Q9" s="117">
        <v>124.031244690881</v>
      </c>
      <c r="R9" s="118">
        <v>23.9875679114364</v>
      </c>
      <c r="S9" s="118">
        <v>9.4328403490274297</v>
      </c>
      <c r="T9" s="118">
        <v>3.65981267441206</v>
      </c>
      <c r="U9" s="118">
        <v>219.17880659143901</v>
      </c>
      <c r="V9" s="119">
        <v>431.16602504874697</v>
      </c>
      <c r="W9" s="117">
        <v>0</v>
      </c>
      <c r="X9" s="118">
        <v>55.424257930369599</v>
      </c>
      <c r="Y9" s="118">
        <v>17.230394534418</v>
      </c>
      <c r="Z9" s="118">
        <v>0.17499918404389</v>
      </c>
      <c r="AA9" s="118">
        <v>0.39556722980265002</v>
      </c>
      <c r="AB9" s="118">
        <v>84.649442699397596</v>
      </c>
      <c r="AC9" s="118">
        <v>6.7361690711861</v>
      </c>
      <c r="AD9" s="118">
        <v>1.9669487118440501</v>
      </c>
      <c r="AE9" s="118">
        <v>0</v>
      </c>
      <c r="AF9" s="118">
        <v>0.47119806311884999</v>
      </c>
      <c r="AG9" s="118">
        <v>10.4873534784782</v>
      </c>
      <c r="AH9" s="118">
        <v>6.8342740282652104</v>
      </c>
      <c r="AI9" s="118">
        <v>0</v>
      </c>
      <c r="AJ9" s="118">
        <v>1.91646364246014</v>
      </c>
      <c r="AK9" s="118">
        <v>617.45309362213095</v>
      </c>
      <c r="AL9" s="118">
        <v>46.6920170762887</v>
      </c>
      <c r="AM9" s="118">
        <v>91.416690142332897</v>
      </c>
      <c r="AN9" s="118">
        <v>755.56180084075402</v>
      </c>
      <c r="AO9" s="119">
        <v>33.395318910454201</v>
      </c>
      <c r="AP9" s="117">
        <v>93.980823737758399</v>
      </c>
      <c r="AQ9" s="119">
        <v>127.376142648212</v>
      </c>
    </row>
    <row r="10" spans="2:43" x14ac:dyDescent="0.3">
      <c r="B10" s="120" t="s">
        <v>167</v>
      </c>
      <c r="C10" s="158" t="s">
        <v>168</v>
      </c>
      <c r="D10" s="121">
        <v>33.804407716836103</v>
      </c>
      <c r="E10" s="122">
        <v>95.823329416858797</v>
      </c>
      <c r="F10" s="122">
        <v>17.594042784908702</v>
      </c>
      <c r="G10" s="122">
        <v>147.76395450151301</v>
      </c>
      <c r="H10" s="122">
        <v>107.842148814529</v>
      </c>
      <c r="I10" s="122">
        <v>23.456999350899199</v>
      </c>
      <c r="J10" s="122">
        <v>10.217932489788399</v>
      </c>
      <c r="K10" s="122">
        <v>77.629241503411095</v>
      </c>
      <c r="L10" s="122">
        <v>73.058547592772996</v>
      </c>
      <c r="M10" s="122">
        <v>117.260431911536</v>
      </c>
      <c r="N10" s="122">
        <v>7.5528030748334896</v>
      </c>
      <c r="O10" s="122">
        <v>712.00383915788404</v>
      </c>
      <c r="P10" s="123">
        <v>124.60530647229299</v>
      </c>
      <c r="Q10" s="121">
        <v>113.802855250039</v>
      </c>
      <c r="R10" s="122">
        <v>38.150391995356202</v>
      </c>
      <c r="S10" s="122">
        <v>23.0068421315489</v>
      </c>
      <c r="T10" s="122">
        <v>10.3285731752534</v>
      </c>
      <c r="U10" s="122">
        <v>309.89396902448999</v>
      </c>
      <c r="V10" s="123">
        <v>1272.7419266347399</v>
      </c>
      <c r="W10" s="121">
        <v>0</v>
      </c>
      <c r="X10" s="122">
        <v>36.292645059663201</v>
      </c>
      <c r="Y10" s="122">
        <v>3.2486957070479798</v>
      </c>
      <c r="Z10" s="122">
        <v>0.32189993735458999</v>
      </c>
      <c r="AA10" s="122">
        <v>30.3262704757345</v>
      </c>
      <c r="AB10" s="122">
        <v>158.741275592112</v>
      </c>
      <c r="AC10" s="122">
        <v>24.346606748220399</v>
      </c>
      <c r="AD10" s="122">
        <v>4.1593890305261301</v>
      </c>
      <c r="AE10" s="122">
        <v>0</v>
      </c>
      <c r="AF10" s="122">
        <v>1.5778720394704899</v>
      </c>
      <c r="AG10" s="122">
        <v>54.684919735491</v>
      </c>
      <c r="AH10" s="122">
        <v>5.4797569849425596</v>
      </c>
      <c r="AI10" s="122">
        <v>2.3145547387505401</v>
      </c>
      <c r="AJ10" s="122">
        <v>3.4571025959267798</v>
      </c>
      <c r="AK10" s="122">
        <v>1597.6929152799801</v>
      </c>
      <c r="AL10" s="122">
        <v>150.49659513641799</v>
      </c>
      <c r="AM10" s="122">
        <v>65.584967333457698</v>
      </c>
      <c r="AN10" s="122">
        <v>1813.7744777498599</v>
      </c>
      <c r="AO10" s="123">
        <v>54.210947832490398</v>
      </c>
      <c r="AP10" s="121">
        <v>136.501220713647</v>
      </c>
      <c r="AQ10" s="123">
        <v>190.712168546138</v>
      </c>
    </row>
    <row r="11" spans="2:43" x14ac:dyDescent="0.3">
      <c r="B11" s="124" t="s">
        <v>169</v>
      </c>
      <c r="C11" s="157" t="s">
        <v>170</v>
      </c>
      <c r="D11" s="125">
        <v>52.250577913615203</v>
      </c>
      <c r="E11" s="126">
        <v>158.57474247291699</v>
      </c>
      <c r="F11" s="126">
        <v>17.1077814644289</v>
      </c>
      <c r="G11" s="126">
        <v>254.82807775590101</v>
      </c>
      <c r="H11" s="126">
        <v>167.94125974214401</v>
      </c>
      <c r="I11" s="126">
        <v>37.491477828857498</v>
      </c>
      <c r="J11" s="126">
        <v>9.7907589794260605</v>
      </c>
      <c r="K11" s="126">
        <v>134.82702787299999</v>
      </c>
      <c r="L11" s="126">
        <v>115.336362055368</v>
      </c>
      <c r="M11" s="126">
        <v>196.80356287299699</v>
      </c>
      <c r="N11" s="126">
        <v>14.7951208700399</v>
      </c>
      <c r="O11" s="126">
        <v>1159.7467498286901</v>
      </c>
      <c r="P11" s="127">
        <v>155.91404057786099</v>
      </c>
      <c r="Q11" s="125">
        <v>104.42914665123</v>
      </c>
      <c r="R11" s="126">
        <v>49.550152892649002</v>
      </c>
      <c r="S11" s="126">
        <v>27.167645166504801</v>
      </c>
      <c r="T11" s="126">
        <v>15.972239960410599</v>
      </c>
      <c r="U11" s="126">
        <v>353.03322524865501</v>
      </c>
      <c r="V11" s="127">
        <v>1375.07266334932</v>
      </c>
      <c r="W11" s="125">
        <v>1.27681027049048</v>
      </c>
      <c r="X11" s="126">
        <v>61.618067198659098</v>
      </c>
      <c r="Y11" s="126">
        <v>7.7925734604506598</v>
      </c>
      <c r="Z11" s="126">
        <v>0.53284329264518004</v>
      </c>
      <c r="AA11" s="126">
        <v>36.196833203291803</v>
      </c>
      <c r="AB11" s="126">
        <v>210.62346909342199</v>
      </c>
      <c r="AC11" s="126">
        <v>24.338447595513902</v>
      </c>
      <c r="AD11" s="126">
        <v>8.7450347104523996</v>
      </c>
      <c r="AE11" s="126">
        <v>1.894368494E-5</v>
      </c>
      <c r="AF11" s="126">
        <v>1.10170850815724</v>
      </c>
      <c r="AG11" s="126">
        <v>51.978555631831199</v>
      </c>
      <c r="AH11" s="126">
        <v>9.9748546999507699</v>
      </c>
      <c r="AI11" s="126">
        <v>0.15340851878077</v>
      </c>
      <c r="AJ11" s="126">
        <v>4.6042024765101202</v>
      </c>
      <c r="AK11" s="126">
        <v>1794.0094909531599</v>
      </c>
      <c r="AL11" s="126">
        <v>138.21055580112599</v>
      </c>
      <c r="AM11" s="126">
        <v>105.435533772854</v>
      </c>
      <c r="AN11" s="126">
        <v>2037.65558052714</v>
      </c>
      <c r="AO11" s="127">
        <v>87.261588851107206</v>
      </c>
      <c r="AP11" s="125">
        <v>207.73837987506201</v>
      </c>
      <c r="AQ11" s="127">
        <v>294.99996872616902</v>
      </c>
    </row>
    <row r="12" spans="2:43" x14ac:dyDescent="0.3">
      <c r="B12" s="120" t="s">
        <v>171</v>
      </c>
      <c r="C12" s="158" t="s">
        <v>172</v>
      </c>
      <c r="D12" s="121">
        <v>34.079139578315598</v>
      </c>
      <c r="E12" s="122">
        <v>106.09479275231401</v>
      </c>
      <c r="F12" s="122">
        <v>18.1962428747098</v>
      </c>
      <c r="G12" s="122">
        <v>161.16326647887701</v>
      </c>
      <c r="H12" s="122">
        <v>107.69911424837601</v>
      </c>
      <c r="I12" s="122">
        <v>26.200319240210099</v>
      </c>
      <c r="J12" s="122">
        <v>9.56845035133796</v>
      </c>
      <c r="K12" s="122">
        <v>83.681573973996393</v>
      </c>
      <c r="L12" s="122">
        <v>79.003804347476105</v>
      </c>
      <c r="M12" s="122">
        <v>129.96528391939</v>
      </c>
      <c r="N12" s="122">
        <v>8.56481391052594</v>
      </c>
      <c r="O12" s="122">
        <v>764.21680167552802</v>
      </c>
      <c r="P12" s="123">
        <v>86.002174174674295</v>
      </c>
      <c r="Q12" s="121">
        <v>55.545656035185203</v>
      </c>
      <c r="R12" s="122">
        <v>20.6964868108576</v>
      </c>
      <c r="S12" s="122">
        <v>13.600992184757599</v>
      </c>
      <c r="T12" s="122">
        <v>7.82448835058082</v>
      </c>
      <c r="U12" s="122">
        <v>183.66979755605499</v>
      </c>
      <c r="V12" s="123">
        <v>552.89517546418097</v>
      </c>
      <c r="W12" s="121">
        <v>0</v>
      </c>
      <c r="X12" s="122">
        <v>26.165030158373899</v>
      </c>
      <c r="Y12" s="122">
        <v>3.5391693781119198</v>
      </c>
      <c r="Z12" s="122">
        <v>0.20330645645761</v>
      </c>
      <c r="AA12" s="122">
        <v>9.9265787816519193</v>
      </c>
      <c r="AB12" s="122">
        <v>81.751237247800802</v>
      </c>
      <c r="AC12" s="122">
        <v>1.15581815287666</v>
      </c>
      <c r="AD12" s="122">
        <v>3.6967797661253901</v>
      </c>
      <c r="AE12" s="122">
        <v>0</v>
      </c>
      <c r="AF12" s="122">
        <v>0.68190225211370004</v>
      </c>
      <c r="AG12" s="122">
        <v>41.237648783319599</v>
      </c>
      <c r="AH12" s="122">
        <v>8.7359163036561007</v>
      </c>
      <c r="AI12" s="122">
        <v>0.21344523281892</v>
      </c>
      <c r="AJ12" s="122">
        <v>2.9036221616433799</v>
      </c>
      <c r="AK12" s="122">
        <v>733.10563013913099</v>
      </c>
      <c r="AL12" s="122">
        <v>63.758485184020202</v>
      </c>
      <c r="AM12" s="122">
        <v>73.438448906752697</v>
      </c>
      <c r="AN12" s="122">
        <v>870.30256422990396</v>
      </c>
      <c r="AO12" s="123">
        <v>56.321748536878303</v>
      </c>
      <c r="AP12" s="121">
        <v>132.90835529408901</v>
      </c>
      <c r="AQ12" s="123">
        <v>189.23010383096701</v>
      </c>
    </row>
    <row r="13" spans="2:43" x14ac:dyDescent="0.3">
      <c r="B13" s="124" t="s">
        <v>173</v>
      </c>
      <c r="C13" s="157" t="s">
        <v>174</v>
      </c>
      <c r="D13" s="125">
        <v>17.802172668777501</v>
      </c>
      <c r="E13" s="126">
        <v>44.664656006728798</v>
      </c>
      <c r="F13" s="126">
        <v>33.993878983547702</v>
      </c>
      <c r="G13" s="126">
        <v>64.690645126363904</v>
      </c>
      <c r="H13" s="126">
        <v>46.502374875334198</v>
      </c>
      <c r="I13" s="126">
        <v>10.566108407363201</v>
      </c>
      <c r="J13" s="126">
        <v>19.2714887064983</v>
      </c>
      <c r="K13" s="126">
        <v>35.743912322262602</v>
      </c>
      <c r="L13" s="126">
        <v>36.386678931807303</v>
      </c>
      <c r="M13" s="126">
        <v>55.5609020636361</v>
      </c>
      <c r="N13" s="126">
        <v>3.1616359798208702</v>
      </c>
      <c r="O13" s="126">
        <v>368.34445407214002</v>
      </c>
      <c r="P13" s="127">
        <v>58.911066626348003</v>
      </c>
      <c r="Q13" s="125">
        <v>85.144344593764004</v>
      </c>
      <c r="R13" s="126">
        <v>20.595071066474201</v>
      </c>
      <c r="S13" s="126">
        <v>10.040671825536499</v>
      </c>
      <c r="T13" s="126">
        <v>2.6890914427284298</v>
      </c>
      <c r="U13" s="126">
        <v>177.380245554851</v>
      </c>
      <c r="V13" s="127">
        <v>381.90045207608301</v>
      </c>
      <c r="W13" s="125">
        <v>0.46479811279560002</v>
      </c>
      <c r="X13" s="126">
        <v>15.582138234696901</v>
      </c>
      <c r="Y13" s="126">
        <v>113.368037750817</v>
      </c>
      <c r="Z13" s="126">
        <v>0.13408381444413001</v>
      </c>
      <c r="AA13" s="126">
        <v>14.278193282526299</v>
      </c>
      <c r="AB13" s="126">
        <v>60.734232415149101</v>
      </c>
      <c r="AC13" s="126">
        <v>68.470258593928307</v>
      </c>
      <c r="AD13" s="126">
        <v>3.5130069450409098</v>
      </c>
      <c r="AE13" s="126">
        <v>0</v>
      </c>
      <c r="AF13" s="126">
        <v>0.40570920352523998</v>
      </c>
      <c r="AG13" s="126">
        <v>10.678891008901701</v>
      </c>
      <c r="AH13" s="126">
        <v>0.90198500509642998</v>
      </c>
      <c r="AI13" s="126">
        <v>0</v>
      </c>
      <c r="AJ13" s="126">
        <v>0.59431835658134002</v>
      </c>
      <c r="AK13" s="126">
        <v>671.02610479958605</v>
      </c>
      <c r="AL13" s="126">
        <v>18.6501772387386</v>
      </c>
      <c r="AM13" s="126">
        <v>115.293821734246</v>
      </c>
      <c r="AN13" s="126">
        <v>804.97010377257004</v>
      </c>
      <c r="AO13" s="127">
        <v>23.526237044941599</v>
      </c>
      <c r="AP13" s="125">
        <v>62.482021974095503</v>
      </c>
      <c r="AQ13" s="127">
        <v>86.008259019037197</v>
      </c>
    </row>
    <row r="14" spans="2:43" x14ac:dyDescent="0.3">
      <c r="B14" s="120" t="s">
        <v>175</v>
      </c>
      <c r="C14" s="158" t="s">
        <v>176</v>
      </c>
      <c r="D14" s="121">
        <v>7.3136472562501602</v>
      </c>
      <c r="E14" s="122">
        <v>8.9428904706409291</v>
      </c>
      <c r="F14" s="122">
        <v>20.3911984784019</v>
      </c>
      <c r="G14" s="122">
        <v>90.256689244599798</v>
      </c>
      <c r="H14" s="122">
        <v>62.0404846201601</v>
      </c>
      <c r="I14" s="122">
        <v>15.1376296548823</v>
      </c>
      <c r="J14" s="122">
        <v>11.986245015806199</v>
      </c>
      <c r="K14" s="122">
        <v>48.951805398058703</v>
      </c>
      <c r="L14" s="122">
        <v>50.0476814693886</v>
      </c>
      <c r="M14" s="122">
        <v>75.481224127767604</v>
      </c>
      <c r="N14" s="122">
        <v>3.0463433667160298</v>
      </c>
      <c r="O14" s="122">
        <v>393.59583910267003</v>
      </c>
      <c r="P14" s="123">
        <v>25.696771929487799</v>
      </c>
      <c r="Q14" s="121">
        <v>48.038749034773502</v>
      </c>
      <c r="R14" s="122">
        <v>10.104915719615599</v>
      </c>
      <c r="S14" s="122">
        <v>4.4717924189585299</v>
      </c>
      <c r="T14" s="122">
        <v>0.57891432439228996</v>
      </c>
      <c r="U14" s="122">
        <v>88.891143427227902</v>
      </c>
      <c r="V14" s="123">
        <v>176.89886681146601</v>
      </c>
      <c r="W14" s="121">
        <v>0.87882135915985005</v>
      </c>
      <c r="X14" s="122">
        <v>7.2286611060645098</v>
      </c>
      <c r="Y14" s="122">
        <v>1.16277373804141</v>
      </c>
      <c r="Z14" s="122">
        <v>5.8700335787939997E-2</v>
      </c>
      <c r="AA14" s="122">
        <v>0.87995097931221999</v>
      </c>
      <c r="AB14" s="122">
        <v>26.0707719973494</v>
      </c>
      <c r="AC14" s="122">
        <v>1.0524602378723</v>
      </c>
      <c r="AD14" s="122">
        <v>0.88087621376636005</v>
      </c>
      <c r="AE14" s="122">
        <v>0</v>
      </c>
      <c r="AF14" s="122">
        <v>0.33418474754348998</v>
      </c>
      <c r="AG14" s="122">
        <v>2.0810759176043301</v>
      </c>
      <c r="AH14" s="122">
        <v>0.31192084099049999</v>
      </c>
      <c r="AI14" s="122">
        <v>5.675790951944E-2</v>
      </c>
      <c r="AJ14" s="122">
        <v>5.7692746181709997E-2</v>
      </c>
      <c r="AK14" s="122">
        <v>217.95351494066199</v>
      </c>
      <c r="AL14" s="122">
        <v>4.7669022043072999</v>
      </c>
      <c r="AM14" s="122">
        <v>55.559615096570099</v>
      </c>
      <c r="AN14" s="122">
        <v>278.28003224153298</v>
      </c>
      <c r="AO14" s="123">
        <v>39.957195775038798</v>
      </c>
      <c r="AP14" s="121">
        <v>94.144007081486905</v>
      </c>
      <c r="AQ14" s="123">
        <v>134.10120285652599</v>
      </c>
    </row>
    <row r="15" spans="2:43" x14ac:dyDescent="0.3">
      <c r="B15" s="124" t="s">
        <v>177</v>
      </c>
      <c r="C15" s="157" t="s">
        <v>178</v>
      </c>
      <c r="D15" s="125">
        <v>62.080376213020998</v>
      </c>
      <c r="E15" s="126">
        <v>150.925804821865</v>
      </c>
      <c r="F15" s="126">
        <v>19.356530902999701</v>
      </c>
      <c r="G15" s="126">
        <v>229.55434357065801</v>
      </c>
      <c r="H15" s="126">
        <v>142.22384708813701</v>
      </c>
      <c r="I15" s="126">
        <v>37.318501038231403</v>
      </c>
      <c r="J15" s="126">
        <v>10.0456583313116</v>
      </c>
      <c r="K15" s="126">
        <v>110.408689461012</v>
      </c>
      <c r="L15" s="126">
        <v>111.102269798151</v>
      </c>
      <c r="M15" s="126">
        <v>179.70901285171701</v>
      </c>
      <c r="N15" s="126">
        <v>10.7033993096386</v>
      </c>
      <c r="O15" s="126">
        <v>1063.4284333867399</v>
      </c>
      <c r="P15" s="127">
        <v>99.113617409111498</v>
      </c>
      <c r="Q15" s="125">
        <v>104.625782074897</v>
      </c>
      <c r="R15" s="126">
        <v>34.725695329118899</v>
      </c>
      <c r="S15" s="126">
        <v>15.955822444274499</v>
      </c>
      <c r="T15" s="126">
        <v>7.1594806399184803</v>
      </c>
      <c r="U15" s="126">
        <v>261.58039789731998</v>
      </c>
      <c r="V15" s="127">
        <v>697.03373197761096</v>
      </c>
      <c r="W15" s="125">
        <v>0</v>
      </c>
      <c r="X15" s="126">
        <v>29.8602275211381</v>
      </c>
      <c r="Y15" s="126">
        <v>38.941347177009298</v>
      </c>
      <c r="Z15" s="126">
        <v>2.5942884145153902</v>
      </c>
      <c r="AA15" s="126">
        <v>15.9460194660225</v>
      </c>
      <c r="AB15" s="126">
        <v>164.55177793754001</v>
      </c>
      <c r="AC15" s="126">
        <v>3.1063425294378102</v>
      </c>
      <c r="AD15" s="126">
        <v>5.9116197222247404</v>
      </c>
      <c r="AE15" s="126">
        <v>0</v>
      </c>
      <c r="AF15" s="126">
        <v>4.2748682649448204</v>
      </c>
      <c r="AG15" s="126">
        <v>32.320172667811597</v>
      </c>
      <c r="AH15" s="126">
        <v>12.545005478080901</v>
      </c>
      <c r="AI15" s="126">
        <v>0.10463942648029</v>
      </c>
      <c r="AJ15" s="126">
        <v>3.6403350299644202</v>
      </c>
      <c r="AK15" s="126">
        <v>1010.83037561278</v>
      </c>
      <c r="AL15" s="126">
        <v>29.915868364924901</v>
      </c>
      <c r="AM15" s="126">
        <v>37.737454061764304</v>
      </c>
      <c r="AN15" s="126">
        <v>1078.48369803947</v>
      </c>
      <c r="AO15" s="127">
        <v>92.224334099354294</v>
      </c>
      <c r="AP15" s="125">
        <v>239.09480673064999</v>
      </c>
      <c r="AQ15" s="127">
        <v>331.31914083000402</v>
      </c>
    </row>
    <row r="16" spans="2:43" x14ac:dyDescent="0.3">
      <c r="B16" s="120" t="s">
        <v>179</v>
      </c>
      <c r="C16" s="158" t="s">
        <v>180</v>
      </c>
      <c r="D16" s="121">
        <v>94.841755642473402</v>
      </c>
      <c r="E16" s="122">
        <v>264.13624374609401</v>
      </c>
      <c r="F16" s="122">
        <v>16.786650001333498</v>
      </c>
      <c r="G16" s="122">
        <v>391.317037290663</v>
      </c>
      <c r="H16" s="122">
        <v>260.96515167105201</v>
      </c>
      <c r="I16" s="122">
        <v>59.252233524609601</v>
      </c>
      <c r="J16" s="122">
        <v>10.191502325486301</v>
      </c>
      <c r="K16" s="122">
        <v>195.33939540338201</v>
      </c>
      <c r="L16" s="122">
        <v>183.53960695774401</v>
      </c>
      <c r="M16" s="122">
        <v>300.64820650791103</v>
      </c>
      <c r="N16" s="122">
        <v>22.0246806701937</v>
      </c>
      <c r="O16" s="122">
        <v>1799.0424637409401</v>
      </c>
      <c r="P16" s="123">
        <v>125.02049900136799</v>
      </c>
      <c r="Q16" s="121">
        <v>111.81585833673201</v>
      </c>
      <c r="R16" s="122">
        <v>41.000022355189799</v>
      </c>
      <c r="S16" s="122">
        <v>22.266772378761601</v>
      </c>
      <c r="T16" s="122">
        <v>14.9412215738248</v>
      </c>
      <c r="U16" s="122">
        <v>315.04437364587602</v>
      </c>
      <c r="V16" s="123">
        <v>869.70135618247002</v>
      </c>
      <c r="W16" s="121">
        <v>0</v>
      </c>
      <c r="X16" s="122">
        <v>58.822132570159397</v>
      </c>
      <c r="Y16" s="122">
        <v>85.440121245245905</v>
      </c>
      <c r="Z16" s="122">
        <v>0.31046087752853002</v>
      </c>
      <c r="AA16" s="122">
        <v>70.936914263755895</v>
      </c>
      <c r="AB16" s="122">
        <v>280.86180764234598</v>
      </c>
      <c r="AC16" s="122">
        <v>20.125746384071501</v>
      </c>
      <c r="AD16" s="122">
        <v>46.004690491843398</v>
      </c>
      <c r="AE16" s="122">
        <v>0</v>
      </c>
      <c r="AF16" s="122">
        <v>15.513703542018799</v>
      </c>
      <c r="AG16" s="122">
        <v>81.956152879290897</v>
      </c>
      <c r="AH16" s="122">
        <v>9.7536937578017309</v>
      </c>
      <c r="AI16" s="122">
        <v>0.68320913004935002</v>
      </c>
      <c r="AJ16" s="122">
        <v>7.7244279097657698</v>
      </c>
      <c r="AK16" s="122">
        <v>1547.8344168763499</v>
      </c>
      <c r="AL16" s="122">
        <v>70.711671904290895</v>
      </c>
      <c r="AM16" s="122">
        <v>181.169668803148</v>
      </c>
      <c r="AN16" s="122">
        <v>1799.71575758379</v>
      </c>
      <c r="AO16" s="123">
        <v>117.39493492609201</v>
      </c>
      <c r="AP16" s="121">
        <v>375.39480344326302</v>
      </c>
      <c r="AQ16" s="123">
        <v>492.78973836935597</v>
      </c>
    </row>
    <row r="17" spans="2:43" x14ac:dyDescent="0.3">
      <c r="B17" s="124" t="s">
        <v>181</v>
      </c>
      <c r="C17" s="157" t="s">
        <v>182</v>
      </c>
      <c r="D17" s="125">
        <v>23.4764447373732</v>
      </c>
      <c r="E17" s="126">
        <v>53.166992947327799</v>
      </c>
      <c r="F17" s="126">
        <v>21.485477122048199</v>
      </c>
      <c r="G17" s="126">
        <v>95.121926968548493</v>
      </c>
      <c r="H17" s="126">
        <v>66.124057688277901</v>
      </c>
      <c r="I17" s="126">
        <v>13.2012419640592</v>
      </c>
      <c r="J17" s="126">
        <v>10.627541278552499</v>
      </c>
      <c r="K17" s="126">
        <v>47.672047241687501</v>
      </c>
      <c r="L17" s="126">
        <v>45.238033358790702</v>
      </c>
      <c r="M17" s="126">
        <v>81.920028761265201</v>
      </c>
      <c r="N17" s="126">
        <v>3.8383010618101001</v>
      </c>
      <c r="O17" s="126">
        <v>461.872093129738</v>
      </c>
      <c r="P17" s="127">
        <v>52.280480243248</v>
      </c>
      <c r="Q17" s="125">
        <v>81.000011297724001</v>
      </c>
      <c r="R17" s="126">
        <v>19.0293382311526</v>
      </c>
      <c r="S17" s="126">
        <v>8.2323341638283605</v>
      </c>
      <c r="T17" s="126">
        <v>2.9185279528299901</v>
      </c>
      <c r="U17" s="126">
        <v>163.460691888783</v>
      </c>
      <c r="V17" s="127">
        <v>341.22649920444201</v>
      </c>
      <c r="W17" s="125">
        <v>0</v>
      </c>
      <c r="X17" s="126">
        <v>13.3022833543757</v>
      </c>
      <c r="Y17" s="126">
        <v>0.77432331578864999</v>
      </c>
      <c r="Z17" s="126">
        <v>0.57716604987216003</v>
      </c>
      <c r="AA17" s="126">
        <v>8.5556375957643596</v>
      </c>
      <c r="AB17" s="126">
        <v>68.996389445503695</v>
      </c>
      <c r="AC17" s="126">
        <v>5.2749346305951796</v>
      </c>
      <c r="AD17" s="126">
        <v>5.94755593871123</v>
      </c>
      <c r="AE17" s="126">
        <v>3.4865980419999999E-5</v>
      </c>
      <c r="AF17" s="126">
        <v>3.1630409047649399</v>
      </c>
      <c r="AG17" s="126">
        <v>26.813857053832301</v>
      </c>
      <c r="AH17" s="126">
        <v>3.7888082009496098</v>
      </c>
      <c r="AI17" s="126">
        <v>1.0495870899370401</v>
      </c>
      <c r="AJ17" s="126">
        <v>2.2733717365074799</v>
      </c>
      <c r="AK17" s="126">
        <v>481.74348938702502</v>
      </c>
      <c r="AL17" s="126">
        <v>21.416205412552401</v>
      </c>
      <c r="AM17" s="126">
        <v>27.244299515956001</v>
      </c>
      <c r="AN17" s="126">
        <v>530.40399431553305</v>
      </c>
      <c r="AO17" s="127">
        <v>39.560601366134399</v>
      </c>
      <c r="AP17" s="125">
        <v>97.236616540546393</v>
      </c>
      <c r="AQ17" s="127">
        <v>136.79721790668</v>
      </c>
    </row>
    <row r="18" spans="2:43" x14ac:dyDescent="0.3">
      <c r="B18" s="120" t="s">
        <v>183</v>
      </c>
      <c r="C18" s="158" t="s">
        <v>184</v>
      </c>
      <c r="D18" s="121">
        <v>50.658388004490597</v>
      </c>
      <c r="E18" s="122">
        <v>122.790779847069</v>
      </c>
      <c r="F18" s="122">
        <v>18.528065602443299</v>
      </c>
      <c r="G18" s="122">
        <v>187.94600622939799</v>
      </c>
      <c r="H18" s="122">
        <v>140.55365287453799</v>
      </c>
      <c r="I18" s="122">
        <v>27.325598365892098</v>
      </c>
      <c r="J18" s="122">
        <v>11.5987629261609</v>
      </c>
      <c r="K18" s="122">
        <v>96.149613775227394</v>
      </c>
      <c r="L18" s="122">
        <v>86.100455514194707</v>
      </c>
      <c r="M18" s="122">
        <v>149.10709569162501</v>
      </c>
      <c r="N18" s="122">
        <v>10.4843593343571</v>
      </c>
      <c r="O18" s="122">
        <v>901.24277816539495</v>
      </c>
      <c r="P18" s="123">
        <v>122.671325278243</v>
      </c>
      <c r="Q18" s="121">
        <v>112.039269695204</v>
      </c>
      <c r="R18" s="122">
        <v>23.717399598276899</v>
      </c>
      <c r="S18" s="122">
        <v>20.709873206366801</v>
      </c>
      <c r="T18" s="122">
        <v>11.1572234397306</v>
      </c>
      <c r="U18" s="122">
        <v>290.29509121782002</v>
      </c>
      <c r="V18" s="123">
        <v>343.815526762795</v>
      </c>
      <c r="W18" s="121">
        <v>1.04718435987E-3</v>
      </c>
      <c r="X18" s="122">
        <v>70.389662308071905</v>
      </c>
      <c r="Y18" s="122">
        <v>1365.9225044073301</v>
      </c>
      <c r="Z18" s="122">
        <v>0.10803662975373</v>
      </c>
      <c r="AA18" s="122">
        <v>37.159207076203401</v>
      </c>
      <c r="AB18" s="122">
        <v>81.738778054146806</v>
      </c>
      <c r="AC18" s="122">
        <v>1.90411271139639</v>
      </c>
      <c r="AD18" s="122">
        <v>5.8324638924909697</v>
      </c>
      <c r="AE18" s="122">
        <v>0</v>
      </c>
      <c r="AF18" s="122">
        <v>1.83824821590276</v>
      </c>
      <c r="AG18" s="122">
        <v>25.6561391328257</v>
      </c>
      <c r="AH18" s="122">
        <v>3.0815827731887202</v>
      </c>
      <c r="AI18" s="122">
        <v>2.4594478312094998</v>
      </c>
      <c r="AJ18" s="122">
        <v>9.5408218224919903</v>
      </c>
      <c r="AK18" s="122">
        <v>1949.44757880217</v>
      </c>
      <c r="AL18" s="122">
        <v>56.017730777993997</v>
      </c>
      <c r="AM18" s="122">
        <v>20.631646701222198</v>
      </c>
      <c r="AN18" s="122">
        <v>2026.09695628139</v>
      </c>
      <c r="AO18" s="123">
        <v>68.963595182262097</v>
      </c>
      <c r="AP18" s="121">
        <v>185.55602753635199</v>
      </c>
      <c r="AQ18" s="123">
        <v>254.51962271861399</v>
      </c>
    </row>
    <row r="19" spans="2:43" x14ac:dyDescent="0.3">
      <c r="B19" s="124" t="s">
        <v>185</v>
      </c>
      <c r="C19" s="157" t="s">
        <v>186</v>
      </c>
      <c r="D19" s="125">
        <v>82.840596486882603</v>
      </c>
      <c r="E19" s="126">
        <v>198.46273223909901</v>
      </c>
      <c r="F19" s="126">
        <v>20.866354200265899</v>
      </c>
      <c r="G19" s="126">
        <v>309.52508217085199</v>
      </c>
      <c r="H19" s="126">
        <v>193.71599466496701</v>
      </c>
      <c r="I19" s="126">
        <v>43.273964258042703</v>
      </c>
      <c r="J19" s="126">
        <v>10.576219901925</v>
      </c>
      <c r="K19" s="126">
        <v>143.33546044877099</v>
      </c>
      <c r="L19" s="126">
        <v>136.21306311803099</v>
      </c>
      <c r="M19" s="126">
        <v>236.55103422182401</v>
      </c>
      <c r="N19" s="126">
        <v>13.0353301029034</v>
      </c>
      <c r="O19" s="126">
        <v>1388.3958318135701</v>
      </c>
      <c r="P19" s="127">
        <v>159.94432266218399</v>
      </c>
      <c r="Q19" s="125">
        <v>119.660221119138</v>
      </c>
      <c r="R19" s="126">
        <v>26.258869600036</v>
      </c>
      <c r="S19" s="126">
        <v>24.338577109273199</v>
      </c>
      <c r="T19" s="126">
        <v>9.9179072227560994</v>
      </c>
      <c r="U19" s="126">
        <v>340.11989771338801</v>
      </c>
      <c r="V19" s="127">
        <v>418.23407282000301</v>
      </c>
      <c r="W19" s="125">
        <v>4.7408562797000001E-4</v>
      </c>
      <c r="X19" s="126">
        <v>75.505191640587</v>
      </c>
      <c r="Y19" s="126">
        <v>1269.4608774010001</v>
      </c>
      <c r="Z19" s="126">
        <v>0.14847464259884</v>
      </c>
      <c r="AA19" s="126">
        <v>140.41975786813001</v>
      </c>
      <c r="AB19" s="126">
        <v>124.329436138109</v>
      </c>
      <c r="AC19" s="126">
        <v>4.9899494024666096</v>
      </c>
      <c r="AD19" s="126">
        <v>6.3279154552290402</v>
      </c>
      <c r="AE19" s="126">
        <v>0</v>
      </c>
      <c r="AF19" s="126">
        <v>3.5651873865725001</v>
      </c>
      <c r="AG19" s="126">
        <v>37.578519652944699</v>
      </c>
      <c r="AH19" s="126">
        <v>6.7182972912165004</v>
      </c>
      <c r="AI19" s="126">
        <v>1.2376683810914499</v>
      </c>
      <c r="AJ19" s="126">
        <v>13.1505246377991</v>
      </c>
      <c r="AK19" s="126">
        <v>2101.6663468033798</v>
      </c>
      <c r="AL19" s="126">
        <v>83.218455877813696</v>
      </c>
      <c r="AM19" s="126">
        <v>38.276817539763499</v>
      </c>
      <c r="AN19" s="126">
        <v>2223.1616202209598</v>
      </c>
      <c r="AO19" s="127">
        <v>120.712743868065</v>
      </c>
      <c r="AP19" s="125">
        <v>264.56516142015602</v>
      </c>
      <c r="AQ19" s="127">
        <v>385.27790528822101</v>
      </c>
    </row>
    <row r="20" spans="2:43" x14ac:dyDescent="0.3">
      <c r="B20" s="120" t="s">
        <v>187</v>
      </c>
      <c r="C20" s="158" t="s">
        <v>188</v>
      </c>
      <c r="D20" s="121">
        <v>13.2044151739843</v>
      </c>
      <c r="E20" s="122">
        <v>39.217819673547197</v>
      </c>
      <c r="F20" s="122">
        <v>14.934270551157899</v>
      </c>
      <c r="G20" s="122">
        <v>57.206651532422804</v>
      </c>
      <c r="H20" s="122">
        <v>35.068468393822897</v>
      </c>
      <c r="I20" s="122">
        <v>7.5523602717273102</v>
      </c>
      <c r="J20" s="122">
        <v>8.9304154911507894</v>
      </c>
      <c r="K20" s="122">
        <v>29.310423626543201</v>
      </c>
      <c r="L20" s="122">
        <v>21.504884719980399</v>
      </c>
      <c r="M20" s="122">
        <v>43.040565561728499</v>
      </c>
      <c r="N20" s="122">
        <v>2.3049734198101501</v>
      </c>
      <c r="O20" s="122">
        <v>272.27524841587598</v>
      </c>
      <c r="P20" s="123">
        <v>46.738807525504498</v>
      </c>
      <c r="Q20" s="121">
        <v>61.880689569731601</v>
      </c>
      <c r="R20" s="122">
        <v>17.347525851927699</v>
      </c>
      <c r="S20" s="122">
        <v>5.68413171231962</v>
      </c>
      <c r="T20" s="122">
        <v>2.04655387680946</v>
      </c>
      <c r="U20" s="122">
        <v>133.69770853629299</v>
      </c>
      <c r="V20" s="123">
        <v>386.74502523594902</v>
      </c>
      <c r="W20" s="121">
        <v>0</v>
      </c>
      <c r="X20" s="122">
        <v>16.149599848699602</v>
      </c>
      <c r="Y20" s="122">
        <v>10.144019052300401</v>
      </c>
      <c r="Z20" s="122">
        <v>0.13946515588842001</v>
      </c>
      <c r="AA20" s="122">
        <v>0.95847783049558999</v>
      </c>
      <c r="AB20" s="122">
        <v>62.547121251305299</v>
      </c>
      <c r="AC20" s="122">
        <v>3.8496498512895698</v>
      </c>
      <c r="AD20" s="122">
        <v>2.83889233843531</v>
      </c>
      <c r="AE20" s="122">
        <v>0</v>
      </c>
      <c r="AF20" s="122">
        <v>19.136573138296601</v>
      </c>
      <c r="AG20" s="122">
        <v>66.923211630831105</v>
      </c>
      <c r="AH20" s="122">
        <v>17.609223380833502</v>
      </c>
      <c r="AI20" s="122">
        <v>1.167240322965E-2</v>
      </c>
      <c r="AJ20" s="122">
        <v>1.95324725399786</v>
      </c>
      <c r="AK20" s="122">
        <v>589.00617837155096</v>
      </c>
      <c r="AL20" s="122">
        <v>15.3054044723097</v>
      </c>
      <c r="AM20" s="122">
        <v>28.485642937581002</v>
      </c>
      <c r="AN20" s="122">
        <v>632.79722578144106</v>
      </c>
      <c r="AO20" s="123">
        <v>12.928200309245</v>
      </c>
      <c r="AP20" s="121">
        <v>49.830356467442201</v>
      </c>
      <c r="AQ20" s="123">
        <v>62.758556776686298</v>
      </c>
    </row>
    <row r="21" spans="2:43" x14ac:dyDescent="0.3">
      <c r="B21" s="124" t="s">
        <v>189</v>
      </c>
      <c r="C21" s="157" t="s">
        <v>190</v>
      </c>
      <c r="D21" s="125">
        <v>29.465977936153799</v>
      </c>
      <c r="E21" s="126">
        <v>89.016281262775394</v>
      </c>
      <c r="F21" s="126">
        <v>15.110549308305499</v>
      </c>
      <c r="G21" s="126">
        <v>135.26737648087899</v>
      </c>
      <c r="H21" s="126">
        <v>74.266967475393798</v>
      </c>
      <c r="I21" s="126">
        <v>18.380548887439499</v>
      </c>
      <c r="J21" s="126">
        <v>8.7656916247243899</v>
      </c>
      <c r="K21" s="126">
        <v>69.922225410393494</v>
      </c>
      <c r="L21" s="126">
        <v>51.500996531549099</v>
      </c>
      <c r="M21" s="126">
        <v>100.185167708283</v>
      </c>
      <c r="N21" s="126">
        <v>4.6497742902576498</v>
      </c>
      <c r="O21" s="126">
        <v>596.53155691615405</v>
      </c>
      <c r="P21" s="127">
        <v>61.055452948559299</v>
      </c>
      <c r="Q21" s="125">
        <v>74.204865202972897</v>
      </c>
      <c r="R21" s="126">
        <v>19.548370931020699</v>
      </c>
      <c r="S21" s="126">
        <v>7.2658478897996801</v>
      </c>
      <c r="T21" s="126">
        <v>2.3127518203050199</v>
      </c>
      <c r="U21" s="126">
        <v>164.38728879265801</v>
      </c>
      <c r="V21" s="127">
        <v>424.75069558167098</v>
      </c>
      <c r="W21" s="125">
        <v>0</v>
      </c>
      <c r="X21" s="126">
        <v>22.929362469982198</v>
      </c>
      <c r="Y21" s="126">
        <v>35.207025067222503</v>
      </c>
      <c r="Z21" s="126">
        <v>0.10714349790378</v>
      </c>
      <c r="AA21" s="126">
        <v>5.4407875945140196</v>
      </c>
      <c r="AB21" s="126">
        <v>82.853452735427197</v>
      </c>
      <c r="AC21" s="126">
        <v>65.346077001828505</v>
      </c>
      <c r="AD21" s="126">
        <v>3.4723272573839199</v>
      </c>
      <c r="AE21" s="126">
        <v>0</v>
      </c>
      <c r="AF21" s="126">
        <v>22.983932108989599</v>
      </c>
      <c r="AG21" s="126">
        <v>79.773698147333207</v>
      </c>
      <c r="AH21" s="126">
        <v>15.248729748852799</v>
      </c>
      <c r="AI21" s="126">
        <v>0</v>
      </c>
      <c r="AJ21" s="126">
        <v>3.3758905485636501</v>
      </c>
      <c r="AK21" s="126">
        <v>761.48912175967303</v>
      </c>
      <c r="AL21" s="126">
        <v>29.398000817729798</v>
      </c>
      <c r="AM21" s="126">
        <v>48.237474761455097</v>
      </c>
      <c r="AN21" s="126">
        <v>839.12459733885805</v>
      </c>
      <c r="AO21" s="127">
        <v>37.596433155743703</v>
      </c>
      <c r="AP21" s="125">
        <v>116.959220076514</v>
      </c>
      <c r="AQ21" s="127">
        <v>154.55565323225699</v>
      </c>
    </row>
    <row r="22" spans="2:43" x14ac:dyDescent="0.3">
      <c r="B22" s="120" t="s">
        <v>191</v>
      </c>
      <c r="C22" s="158" t="s">
        <v>192</v>
      </c>
      <c r="D22" s="121">
        <v>14.7591086623618</v>
      </c>
      <c r="E22" s="122">
        <v>47.260567284015501</v>
      </c>
      <c r="F22" s="122">
        <v>15.540936211532999</v>
      </c>
      <c r="G22" s="122">
        <v>73.165788939644798</v>
      </c>
      <c r="H22" s="122">
        <v>47.379531294802497</v>
      </c>
      <c r="I22" s="122">
        <v>10.331008865756599</v>
      </c>
      <c r="J22" s="122">
        <v>9.1734294365520608</v>
      </c>
      <c r="K22" s="122">
        <v>39.161325997976697</v>
      </c>
      <c r="L22" s="122">
        <v>30.1719751629944</v>
      </c>
      <c r="M22" s="122">
        <v>55.467770155119403</v>
      </c>
      <c r="N22" s="122">
        <v>4.0753321072063704</v>
      </c>
      <c r="O22" s="122">
        <v>346.48677411796399</v>
      </c>
      <c r="P22" s="123">
        <v>64.543783079307403</v>
      </c>
      <c r="Q22" s="121">
        <v>107.28313464803701</v>
      </c>
      <c r="R22" s="122">
        <v>21.336555709594499</v>
      </c>
      <c r="S22" s="122">
        <v>8.7023976358771602</v>
      </c>
      <c r="T22" s="122">
        <v>4.2915008787646904</v>
      </c>
      <c r="U22" s="122">
        <v>206.15737195158101</v>
      </c>
      <c r="V22" s="123">
        <v>617.27472499509395</v>
      </c>
      <c r="W22" s="121">
        <v>0</v>
      </c>
      <c r="X22" s="122">
        <v>17.991731897099399</v>
      </c>
      <c r="Y22" s="122">
        <v>1.96800104355773</v>
      </c>
      <c r="Z22" s="122">
        <v>2.1457830705062202</v>
      </c>
      <c r="AA22" s="122">
        <v>3.3393993600990002</v>
      </c>
      <c r="AB22" s="122">
        <v>85.281656996586406</v>
      </c>
      <c r="AC22" s="122">
        <v>2.3269407298177298</v>
      </c>
      <c r="AD22" s="122">
        <v>2.6931450196720399</v>
      </c>
      <c r="AE22" s="122">
        <v>1.859161668E-4</v>
      </c>
      <c r="AF22" s="122">
        <v>0.35309616945771999</v>
      </c>
      <c r="AG22" s="122">
        <v>44.138393185143201</v>
      </c>
      <c r="AH22" s="122">
        <v>5.5343192958234901</v>
      </c>
      <c r="AI22" s="122">
        <v>0</v>
      </c>
      <c r="AJ22" s="122">
        <v>0.62512967963331001</v>
      </c>
      <c r="AK22" s="122">
        <v>783.67250735865696</v>
      </c>
      <c r="AL22" s="122">
        <v>20.911366028806899</v>
      </c>
      <c r="AM22" s="122">
        <v>47.491586486587202</v>
      </c>
      <c r="AN22" s="122">
        <v>852.07545987405103</v>
      </c>
      <c r="AO22" s="123">
        <v>19.0918986323836</v>
      </c>
      <c r="AP22" s="121">
        <v>68.224351343337304</v>
      </c>
      <c r="AQ22" s="123">
        <v>87.316249975720694</v>
      </c>
    </row>
    <row r="23" spans="2:43" x14ac:dyDescent="0.3">
      <c r="B23" s="128" t="s">
        <v>193</v>
      </c>
      <c r="C23" s="159" t="s">
        <v>194</v>
      </c>
      <c r="D23" s="129">
        <v>14.4306474371274</v>
      </c>
      <c r="E23" s="130">
        <v>39.896322147075097</v>
      </c>
      <c r="F23" s="130">
        <v>16.259066716303</v>
      </c>
      <c r="G23" s="130">
        <v>61.966077146554099</v>
      </c>
      <c r="H23" s="130">
        <v>44.1671426490201</v>
      </c>
      <c r="I23" s="130">
        <v>10.259804055884301</v>
      </c>
      <c r="J23" s="130">
        <v>10.3778902962408</v>
      </c>
      <c r="K23" s="130">
        <v>33.330516165689502</v>
      </c>
      <c r="L23" s="130">
        <v>29.828782280682798</v>
      </c>
      <c r="M23" s="130">
        <v>50.5734980767471</v>
      </c>
      <c r="N23" s="130">
        <v>3.5308255416915602</v>
      </c>
      <c r="O23" s="130">
        <v>314.62057251301701</v>
      </c>
      <c r="P23" s="131">
        <v>47.105374124860198</v>
      </c>
      <c r="Q23" s="129">
        <v>83.445446326313103</v>
      </c>
      <c r="R23" s="130">
        <v>18.278746801232799</v>
      </c>
      <c r="S23" s="130">
        <v>7.0840733045893796</v>
      </c>
      <c r="T23" s="130">
        <v>3.8745831927675898</v>
      </c>
      <c r="U23" s="130">
        <v>159.78822374976301</v>
      </c>
      <c r="V23" s="131">
        <v>430.97022968375001</v>
      </c>
      <c r="W23" s="129">
        <v>0</v>
      </c>
      <c r="X23" s="130">
        <v>17.979438316218101</v>
      </c>
      <c r="Y23" s="130">
        <v>2.0916434946635798</v>
      </c>
      <c r="Z23" s="130">
        <v>0.11125618230839</v>
      </c>
      <c r="AA23" s="130">
        <v>0.60671352786598998</v>
      </c>
      <c r="AB23" s="130">
        <v>59.0715369363555</v>
      </c>
      <c r="AC23" s="130">
        <v>0.58605157328224999</v>
      </c>
      <c r="AD23" s="130">
        <v>2.0301124222934899</v>
      </c>
      <c r="AE23" s="130">
        <v>5.6873944200000001E-5</v>
      </c>
      <c r="AF23" s="130">
        <v>0.23799095895125</v>
      </c>
      <c r="AG23" s="130">
        <v>31.575865185545901</v>
      </c>
      <c r="AH23" s="130">
        <v>8.2561245883798904</v>
      </c>
      <c r="AI23" s="130">
        <v>0</v>
      </c>
      <c r="AJ23" s="130">
        <v>0.55019066582124998</v>
      </c>
      <c r="AK23" s="130">
        <v>554.06721040938396</v>
      </c>
      <c r="AL23" s="130">
        <v>22.471644081875699</v>
      </c>
      <c r="AM23" s="130">
        <v>30.366804242656698</v>
      </c>
      <c r="AN23" s="130">
        <v>606.90565873391495</v>
      </c>
      <c r="AO23" s="131">
        <v>19.948095249569398</v>
      </c>
      <c r="AP23" s="129">
        <v>56.330907108890599</v>
      </c>
      <c r="AQ23" s="131">
        <v>76.279002358461199</v>
      </c>
    </row>
    <row r="26" spans="2:43" ht="20" thickBot="1" x14ac:dyDescent="0.4">
      <c r="B26" s="240" t="s">
        <v>195</v>
      </c>
      <c r="C26" s="241"/>
      <c r="D26" s="241"/>
      <c r="E26" s="241"/>
      <c r="F26" s="241"/>
      <c r="G26" s="241"/>
      <c r="H26" s="241"/>
      <c r="I26" s="241"/>
      <c r="J26" s="241"/>
      <c r="K26" s="242"/>
    </row>
    <row r="27" spans="2:43" ht="14" thickTop="1" x14ac:dyDescent="0.3"/>
    <row r="28" spans="2:43" x14ac:dyDescent="0.3">
      <c r="B28" s="219" t="s">
        <v>197</v>
      </c>
      <c r="C28" s="220"/>
      <c r="D28" s="220"/>
      <c r="E28" s="220"/>
      <c r="F28" s="220"/>
      <c r="G28" s="220"/>
      <c r="H28" s="220"/>
      <c r="I28" s="220"/>
      <c r="J28" s="220"/>
      <c r="K28" s="221"/>
    </row>
    <row r="29" spans="2:43" ht="14" thickBot="1" x14ac:dyDescent="0.35">
      <c r="B29" s="200"/>
      <c r="C29" s="201"/>
      <c r="D29" s="201"/>
      <c r="E29" s="201"/>
      <c r="F29" s="201"/>
      <c r="G29" s="201"/>
      <c r="H29" s="201"/>
      <c r="I29" s="201"/>
      <c r="J29" s="201"/>
      <c r="K29" s="202"/>
    </row>
    <row r="30" spans="2:43" ht="14" thickTop="1" x14ac:dyDescent="0.3"/>
    <row r="31" spans="2:43" ht="39" x14ac:dyDescent="0.3">
      <c r="B31" s="153" t="s">
        <v>117</v>
      </c>
      <c r="C31" s="153" t="s">
        <v>198</v>
      </c>
      <c r="D31" s="153" t="s">
        <v>199</v>
      </c>
      <c r="E31" s="153" t="s">
        <v>200</v>
      </c>
      <c r="F31" s="154" t="s">
        <v>201</v>
      </c>
      <c r="G31" s="154" t="s">
        <v>202</v>
      </c>
      <c r="H31" s="155" t="s">
        <v>203</v>
      </c>
    </row>
    <row r="32" spans="2:43" x14ac:dyDescent="0.3">
      <c r="B32" s="156" t="s">
        <v>165</v>
      </c>
      <c r="C32" s="161" t="s">
        <v>166</v>
      </c>
      <c r="D32" s="162">
        <v>0</v>
      </c>
      <c r="E32" s="162">
        <v>8</v>
      </c>
      <c r="F32" s="163">
        <v>3533.52</v>
      </c>
      <c r="G32" s="163">
        <v>0</v>
      </c>
      <c r="H32" s="163">
        <v>579.30999999999995</v>
      </c>
    </row>
    <row r="33" spans="2:8" x14ac:dyDescent="0.3">
      <c r="B33" s="156" t="s">
        <v>167</v>
      </c>
      <c r="C33" s="161" t="s">
        <v>168</v>
      </c>
      <c r="D33" s="162">
        <v>0</v>
      </c>
      <c r="E33" s="162">
        <v>12</v>
      </c>
      <c r="F33" s="163">
        <v>6652.84</v>
      </c>
      <c r="G33" s="163">
        <v>0</v>
      </c>
      <c r="H33" s="163">
        <v>178.86</v>
      </c>
    </row>
    <row r="34" spans="2:8" x14ac:dyDescent="0.3">
      <c r="B34" s="156" t="s">
        <v>169</v>
      </c>
      <c r="C34" s="161" t="s">
        <v>170</v>
      </c>
      <c r="D34" s="162">
        <v>0</v>
      </c>
      <c r="E34" s="162">
        <v>16</v>
      </c>
      <c r="F34" s="163">
        <v>8695.2000000000007</v>
      </c>
      <c r="G34" s="163">
        <v>0</v>
      </c>
      <c r="H34" s="163">
        <v>158.44</v>
      </c>
    </row>
    <row r="35" spans="2:8" x14ac:dyDescent="0.3">
      <c r="B35" s="156" t="s">
        <v>171</v>
      </c>
      <c r="C35" s="161" t="s">
        <v>172</v>
      </c>
      <c r="D35" s="162">
        <v>0</v>
      </c>
      <c r="E35" s="162">
        <v>11</v>
      </c>
      <c r="F35" s="163">
        <v>4436.88</v>
      </c>
      <c r="G35" s="163">
        <v>0</v>
      </c>
      <c r="H35" s="163">
        <v>143.05000000000001</v>
      </c>
    </row>
    <row r="36" spans="2:8" x14ac:dyDescent="0.3">
      <c r="B36" s="156" t="s">
        <v>173</v>
      </c>
      <c r="C36" s="161" t="s">
        <v>174</v>
      </c>
      <c r="D36" s="162">
        <v>0</v>
      </c>
      <c r="E36" s="162">
        <v>23</v>
      </c>
      <c r="F36" s="163">
        <v>3047.94</v>
      </c>
      <c r="G36" s="163">
        <v>0</v>
      </c>
      <c r="H36" s="163">
        <v>64.53</v>
      </c>
    </row>
    <row r="37" spans="2:8" x14ac:dyDescent="0.3">
      <c r="B37" s="156" t="s">
        <v>175</v>
      </c>
      <c r="C37" s="161" t="s">
        <v>176</v>
      </c>
      <c r="D37" s="162">
        <v>0</v>
      </c>
      <c r="E37" s="162">
        <v>0</v>
      </c>
      <c r="F37" s="163">
        <v>1423.35</v>
      </c>
      <c r="G37" s="163">
        <v>0</v>
      </c>
      <c r="H37" s="163">
        <v>0</v>
      </c>
    </row>
    <row r="38" spans="2:8" x14ac:dyDescent="0.3">
      <c r="B38" s="156" t="s">
        <v>177</v>
      </c>
      <c r="C38" s="161" t="s">
        <v>204</v>
      </c>
      <c r="D38" s="162">
        <v>0</v>
      </c>
      <c r="E38" s="162">
        <v>29</v>
      </c>
      <c r="F38" s="163">
        <v>7133.72</v>
      </c>
      <c r="G38" s="163">
        <v>0</v>
      </c>
      <c r="H38" s="163">
        <v>193.34</v>
      </c>
    </row>
    <row r="39" spans="2:8" x14ac:dyDescent="0.3">
      <c r="B39" s="156" t="s">
        <v>179</v>
      </c>
      <c r="C39" s="161" t="s">
        <v>205</v>
      </c>
      <c r="D39" s="162">
        <v>0</v>
      </c>
      <c r="E39" s="162">
        <v>40</v>
      </c>
      <c r="F39" s="163">
        <v>9319.08</v>
      </c>
      <c r="G39" s="163">
        <v>0</v>
      </c>
      <c r="H39" s="163">
        <v>191.38</v>
      </c>
    </row>
    <row r="40" spans="2:8" x14ac:dyDescent="0.3">
      <c r="B40" s="156" t="s">
        <v>181</v>
      </c>
      <c r="C40" s="161" t="s">
        <v>206</v>
      </c>
      <c r="D40" s="162">
        <v>0</v>
      </c>
      <c r="E40" s="162">
        <v>8</v>
      </c>
      <c r="F40" s="163">
        <v>2946.36</v>
      </c>
      <c r="G40" s="163">
        <v>0</v>
      </c>
      <c r="H40" s="163">
        <v>209.62</v>
      </c>
    </row>
    <row r="41" spans="2:8" x14ac:dyDescent="0.3">
      <c r="B41" s="156" t="s">
        <v>183</v>
      </c>
      <c r="C41" s="161" t="s">
        <v>207</v>
      </c>
      <c r="D41" s="162">
        <v>0</v>
      </c>
      <c r="E41" s="162">
        <v>14</v>
      </c>
      <c r="F41" s="163">
        <v>5387.98</v>
      </c>
      <c r="G41" s="163">
        <v>0</v>
      </c>
      <c r="H41" s="163">
        <v>81.56</v>
      </c>
    </row>
    <row r="42" spans="2:8" x14ac:dyDescent="0.3">
      <c r="B42" s="156" t="s">
        <v>185</v>
      </c>
      <c r="C42" s="161" t="s">
        <v>208</v>
      </c>
      <c r="D42" s="162">
        <v>0</v>
      </c>
      <c r="E42" s="162">
        <v>30</v>
      </c>
      <c r="F42" s="163">
        <v>7261.23</v>
      </c>
      <c r="G42" s="163">
        <v>0</v>
      </c>
      <c r="H42" s="163">
        <v>64.849999999999994</v>
      </c>
    </row>
    <row r="43" spans="2:8" x14ac:dyDescent="0.3">
      <c r="B43" s="156" t="s">
        <v>187</v>
      </c>
      <c r="C43" s="161" t="s">
        <v>209</v>
      </c>
      <c r="D43" s="162">
        <v>0</v>
      </c>
      <c r="E43" s="162">
        <v>4</v>
      </c>
      <c r="F43" s="163">
        <v>3028.22</v>
      </c>
      <c r="G43" s="163">
        <v>0</v>
      </c>
      <c r="H43" s="163">
        <v>312.64</v>
      </c>
    </row>
    <row r="44" spans="2:8" x14ac:dyDescent="0.3">
      <c r="B44" s="156" t="s">
        <v>189</v>
      </c>
      <c r="C44" s="161" t="s">
        <v>210</v>
      </c>
      <c r="D44" s="162">
        <v>0</v>
      </c>
      <c r="E44" s="162">
        <v>8</v>
      </c>
      <c r="F44" s="163">
        <v>3701.49</v>
      </c>
      <c r="G44" s="163">
        <v>0</v>
      </c>
      <c r="H44" s="163">
        <v>269.69</v>
      </c>
    </row>
    <row r="45" spans="2:8" x14ac:dyDescent="0.3">
      <c r="B45" s="156" t="s">
        <v>191</v>
      </c>
      <c r="C45" s="161" t="s">
        <v>211</v>
      </c>
      <c r="D45" s="162">
        <v>0</v>
      </c>
      <c r="E45" s="162">
        <v>4</v>
      </c>
      <c r="F45" s="163">
        <v>3653.17</v>
      </c>
      <c r="G45" s="163">
        <v>0</v>
      </c>
      <c r="H45" s="163">
        <v>326.60000000000002</v>
      </c>
    </row>
    <row r="46" spans="2:8" x14ac:dyDescent="0.3">
      <c r="B46" s="156" t="s">
        <v>193</v>
      </c>
      <c r="C46" s="161" t="s">
        <v>212</v>
      </c>
      <c r="D46" s="162">
        <v>0</v>
      </c>
      <c r="E46" s="162">
        <v>4</v>
      </c>
      <c r="F46" s="163">
        <v>2384.77</v>
      </c>
      <c r="G46" s="163">
        <v>0</v>
      </c>
      <c r="H46" s="163">
        <v>189</v>
      </c>
    </row>
  </sheetData>
  <mergeCells count="9">
    <mergeCell ref="Q7:V7"/>
    <mergeCell ref="W7:AO7"/>
    <mergeCell ref="AP7:AQ7"/>
    <mergeCell ref="B26:K26"/>
    <mergeCell ref="B7:C7"/>
    <mergeCell ref="D7:P7"/>
    <mergeCell ref="B28:K29"/>
    <mergeCell ref="B1:K1"/>
    <mergeCell ref="B3:K4"/>
  </mergeCells>
  <hyperlinks>
    <hyperlink ref="B5" r:id="rId1" xr:uid="{B26E3A78-FFFB-4861-830F-649CD7403036}"/>
  </hyperlinks>
  <printOptions horizontalCentered="1" verticalCentered="1"/>
  <pageMargins left="0.70866141732283472" right="0.70866141732283472" top="0.74803149606299213" bottom="0.74803149606299213" header="0.31496062992125984" footer="0.31496062992125984"/>
  <pageSetup paperSize="9" scale="15"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3E78F-0CE7-425F-8008-90252EFBF696}">
  <sheetPr>
    <pageSetUpPr fitToPage="1"/>
  </sheetPr>
  <dimension ref="B1:K11"/>
  <sheetViews>
    <sheetView showGridLines="0" zoomScaleNormal="100" workbookViewId="0">
      <selection activeCell="B20" sqref="B22:K34"/>
    </sheetView>
  </sheetViews>
  <sheetFormatPr baseColWidth="10" defaultRowHeight="13.5" x14ac:dyDescent="0.3"/>
  <cols>
    <col min="1" max="1" width="3.23046875" customWidth="1"/>
    <col min="2" max="2" width="33.3828125" bestFit="1" customWidth="1"/>
    <col min="3" max="3" width="24.53515625" bestFit="1" customWidth="1"/>
    <col min="4" max="4" width="14.15234375" bestFit="1" customWidth="1"/>
    <col min="5" max="5" width="15.69140625" bestFit="1" customWidth="1"/>
    <col min="6" max="6" width="6.53515625" customWidth="1"/>
    <col min="7" max="7" width="7.921875" bestFit="1" customWidth="1"/>
    <col min="8" max="8" width="7.15234375" customWidth="1"/>
    <col min="9" max="9" width="11.69140625" customWidth="1"/>
    <col min="10" max="10" width="10.61328125" customWidth="1"/>
    <col min="11" max="11" width="4.61328125" bestFit="1" customWidth="1"/>
    <col min="12" max="12" width="12.61328125" customWidth="1"/>
    <col min="14" max="14" width="12.4609375" customWidth="1"/>
  </cols>
  <sheetData>
    <row r="1" spans="2:11" ht="20" thickBot="1" x14ac:dyDescent="0.4">
      <c r="B1" s="240" t="s">
        <v>214</v>
      </c>
      <c r="C1" s="241"/>
      <c r="D1" s="241"/>
      <c r="E1" s="241"/>
      <c r="F1" s="241"/>
      <c r="G1" s="241"/>
      <c r="H1" s="241"/>
      <c r="I1" s="241"/>
      <c r="J1" s="241"/>
      <c r="K1" s="242"/>
    </row>
    <row r="2" spans="2:11" ht="14" thickTop="1" x14ac:dyDescent="0.3"/>
    <row r="3" spans="2:11" ht="13.25" customHeight="1" thickBot="1" x14ac:dyDescent="0.35">
      <c r="B3" s="279" t="s">
        <v>215</v>
      </c>
      <c r="C3" s="280"/>
      <c r="D3" s="280"/>
      <c r="E3" s="280"/>
      <c r="F3" s="280"/>
      <c r="G3" s="280"/>
      <c r="H3" s="280"/>
      <c r="I3" s="280"/>
      <c r="J3" s="280"/>
      <c r="K3" s="281"/>
    </row>
    <row r="4" spans="2:11" ht="14" thickTop="1" x14ac:dyDescent="0.3"/>
    <row r="5" spans="2:11" x14ac:dyDescent="0.3">
      <c r="B5" s="284"/>
      <c r="C5" s="284"/>
      <c r="D5" s="167" t="s">
        <v>220</v>
      </c>
      <c r="E5" s="168" t="s">
        <v>221</v>
      </c>
    </row>
    <row r="6" spans="2:11" ht="12.65" customHeight="1" x14ac:dyDescent="0.3">
      <c r="B6" s="282" t="s">
        <v>216</v>
      </c>
      <c r="C6" s="283"/>
      <c r="D6" s="173">
        <f>'Activités et recettes supp.'!K41</f>
        <v>2806506.3599999994</v>
      </c>
      <c r="E6" s="174">
        <f>'Activités et recettes supp.'!K42</f>
        <v>3131853.12</v>
      </c>
      <c r="G6" s="289" t="s">
        <v>226</v>
      </c>
      <c r="H6" s="290"/>
      <c r="I6" s="290"/>
      <c r="J6" s="290"/>
      <c r="K6" s="291"/>
    </row>
    <row r="7" spans="2:11" x14ac:dyDescent="0.3">
      <c r="B7" s="287" t="s">
        <v>77</v>
      </c>
      <c r="C7" s="172" t="s">
        <v>222</v>
      </c>
      <c r="D7" s="175">
        <f>'Coûts supplémentaires'!L11</f>
        <v>772780</v>
      </c>
      <c r="E7" s="176">
        <f>'Coûts supplémentaires'!L11</f>
        <v>772780</v>
      </c>
      <c r="G7" s="292"/>
      <c r="H7" s="293"/>
      <c r="I7" s="293"/>
      <c r="J7" s="293"/>
      <c r="K7" s="294"/>
    </row>
    <row r="8" spans="2:11" x14ac:dyDescent="0.3">
      <c r="B8" s="288"/>
      <c r="C8" s="169" t="s">
        <v>223</v>
      </c>
      <c r="D8" s="175">
        <f>'Coûts supplémentaires'!O62</f>
        <v>479737.1178368557</v>
      </c>
      <c r="E8" s="176">
        <f>'Coûts supplémentaires'!Q62</f>
        <v>538519.88039749744</v>
      </c>
      <c r="G8" s="292"/>
      <c r="H8" s="293"/>
      <c r="I8" s="293"/>
      <c r="J8" s="293"/>
      <c r="K8" s="294"/>
    </row>
    <row r="9" spans="2:11" ht="14" thickBot="1" x14ac:dyDescent="0.35">
      <c r="B9" s="286"/>
      <c r="C9" s="170" t="s">
        <v>48</v>
      </c>
      <c r="D9" s="177">
        <f>SUM(D7:D8)</f>
        <v>1252517.1178368558</v>
      </c>
      <c r="E9" s="178">
        <f>SUM(E7:E8)</f>
        <v>1311299.8803974974</v>
      </c>
      <c r="G9" s="295"/>
      <c r="H9" s="296"/>
      <c r="I9" s="296"/>
      <c r="J9" s="296"/>
      <c r="K9" s="297"/>
    </row>
    <row r="10" spans="2:11" ht="14" thickTop="1" x14ac:dyDescent="0.3">
      <c r="B10" s="285" t="s">
        <v>219</v>
      </c>
      <c r="C10" s="171" t="s">
        <v>217</v>
      </c>
      <c r="D10" s="179">
        <f>+D6-D9</f>
        <v>1553989.2421631436</v>
      </c>
      <c r="E10" s="180">
        <f>+E6-E9</f>
        <v>1820553.2396025027</v>
      </c>
      <c r="G10" s="183"/>
      <c r="H10" s="183"/>
      <c r="I10" s="183"/>
      <c r="J10" s="183"/>
      <c r="K10" s="183"/>
    </row>
    <row r="11" spans="2:11" x14ac:dyDescent="0.3">
      <c r="B11" s="286"/>
      <c r="C11" s="170" t="s">
        <v>218</v>
      </c>
      <c r="D11" s="181">
        <f>+D10/D6</f>
        <v>0.55370950314295531</v>
      </c>
      <c r="E11" s="182">
        <f>+E10/E6</f>
        <v>0.58130224178664636</v>
      </c>
      <c r="G11" s="183"/>
      <c r="H11" s="183"/>
      <c r="I11" s="183"/>
      <c r="J11" s="183"/>
      <c r="K11" s="183"/>
    </row>
  </sheetData>
  <mergeCells count="7">
    <mergeCell ref="B1:K1"/>
    <mergeCell ref="B3:K3"/>
    <mergeCell ref="B6:C6"/>
    <mergeCell ref="B5:C5"/>
    <mergeCell ref="B10:B11"/>
    <mergeCell ref="B7:B9"/>
    <mergeCell ref="G6:K9"/>
  </mergeCells>
  <printOptions horizontalCentered="1" verticalCentered="1"/>
  <pageMargins left="0.70866141732283472" right="0.70866141732283472" top="0.74803149606299213" bottom="0.74803149606299213" header="0.31496062992125984" footer="0.31496062992125984"/>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Fiche de contenu détaillée</vt:lpstr>
      <vt:lpstr>Activités et recettes supp.</vt:lpstr>
      <vt:lpstr>Coûts supplémentaires</vt:lpstr>
      <vt:lpstr>Source</vt:lpstr>
      <vt:lpstr>Synthèse des écarts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L'Hostis</dc:creator>
  <cp:lastModifiedBy>Fabienne PECORARO</cp:lastModifiedBy>
  <cp:lastPrinted>2021-08-27T09:08:00Z</cp:lastPrinted>
  <dcterms:created xsi:type="dcterms:W3CDTF">2021-01-08T10:31:51Z</dcterms:created>
  <dcterms:modified xsi:type="dcterms:W3CDTF">2021-08-27T09:08:08Z</dcterms:modified>
</cp:coreProperties>
</file>