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41EB8F9D-84C2-4EA2-B3CF-3037669CF8A0}" xr6:coauthVersionLast="36" xr6:coauthVersionMax="36" xr10:uidLastSave="{00000000-0000-0000-0000-000000000000}"/>
  <bookViews>
    <workbookView xWindow="0" yWindow="0" windowWidth="19200" windowHeight="11388" xr2:uid="{00000000-000D-0000-FFFF-FFFF00000000}"/>
  </bookViews>
  <sheets>
    <sheet name="Fiche de contenu détaillée" sheetId="1" r:id="rId1"/>
    <sheet name="SAISIE DES DONNEES SAMT" sheetId="6" r:id="rId2"/>
    <sheet name="Maquette SAMT" sheetId="5" r:id="rId3"/>
  </sheets>
  <definedNames>
    <definedName name="Titre_Graph_PT">'Maquette SAMT'!$V$7</definedName>
    <definedName name="_xlnm.Print_Area" localSheetId="0">'Fiche de contenu détaillée'!$B$1:$K$96</definedName>
    <definedName name="_xlnm.Print_Area" localSheetId="2">'Maquette SAMT'!$B$1:$AA$106</definedName>
    <definedName name="_xlnm.Print_Area" localSheetId="1">'SAISIE DES DONNEES SAMT'!$A$1:$K$154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5" l="1"/>
  <c r="C14" i="5"/>
  <c r="C38" i="5"/>
  <c r="J67" i="5" l="1"/>
  <c r="J66" i="5"/>
  <c r="J63" i="5"/>
  <c r="J62" i="5"/>
  <c r="J59" i="5"/>
  <c r="J58" i="5"/>
  <c r="J48" i="5"/>
  <c r="J47" i="5"/>
  <c r="J46" i="5"/>
  <c r="J45" i="5"/>
  <c r="J44" i="5"/>
  <c r="J40" i="5"/>
  <c r="J39" i="5"/>
  <c r="J35" i="5"/>
  <c r="J34" i="5"/>
  <c r="J33" i="5"/>
  <c r="J32" i="5"/>
  <c r="J31" i="5"/>
  <c r="J30" i="5"/>
  <c r="J29" i="5"/>
  <c r="J28" i="5"/>
  <c r="J27" i="5"/>
  <c r="J26" i="5"/>
  <c r="J21" i="5"/>
  <c r="J23" i="5"/>
  <c r="J22" i="5"/>
  <c r="J16" i="5"/>
  <c r="J15" i="5"/>
  <c r="J14" i="5"/>
  <c r="J13" i="5"/>
  <c r="H113" i="6"/>
  <c r="H105" i="6"/>
  <c r="H92" i="6"/>
  <c r="H91" i="6"/>
  <c r="H86" i="6"/>
  <c r="H82" i="6"/>
  <c r="H81" i="6" s="1"/>
  <c r="H99" i="6" s="1"/>
  <c r="H106" i="6" s="1"/>
  <c r="H37" i="6"/>
  <c r="H29" i="6"/>
  <c r="H16" i="6"/>
  <c r="H15" i="6"/>
  <c r="H10" i="6"/>
  <c r="H6" i="6"/>
  <c r="H5" i="6" s="1"/>
  <c r="H23" i="6" s="1"/>
  <c r="R67" i="5"/>
  <c r="R59" i="5"/>
  <c r="R11" i="5"/>
  <c r="F67" i="5"/>
  <c r="F66" i="5"/>
  <c r="F63" i="5"/>
  <c r="F62" i="5"/>
  <c r="F59" i="5"/>
  <c r="F58" i="5"/>
  <c r="F48" i="5"/>
  <c r="F47" i="5"/>
  <c r="F46" i="5"/>
  <c r="F45" i="5"/>
  <c r="F44" i="5"/>
  <c r="F35" i="5"/>
  <c r="F34" i="5"/>
  <c r="F40" i="5"/>
  <c r="F39" i="5"/>
  <c r="F33" i="5"/>
  <c r="F32" i="5"/>
  <c r="F31" i="5"/>
  <c r="F30" i="5"/>
  <c r="F29" i="5"/>
  <c r="F28" i="5"/>
  <c r="F27" i="5"/>
  <c r="F26" i="5"/>
  <c r="F23" i="5"/>
  <c r="F22" i="5"/>
  <c r="F21" i="5"/>
  <c r="F16" i="5"/>
  <c r="F15" i="5"/>
  <c r="F14" i="5"/>
  <c r="B17" i="5" s="1"/>
  <c r="F13" i="5"/>
  <c r="O16" i="5" l="1"/>
  <c r="O15" i="5"/>
  <c r="O14" i="5"/>
  <c r="H30" i="6"/>
  <c r="H43" i="6" s="1"/>
  <c r="H44" i="6"/>
  <c r="J68" i="5"/>
  <c r="F68" i="5"/>
  <c r="P67" i="5"/>
  <c r="O67" i="5"/>
  <c r="P66" i="5"/>
  <c r="O66" i="5"/>
  <c r="J64" i="5"/>
  <c r="F64" i="5"/>
  <c r="P63" i="5"/>
  <c r="O63" i="5"/>
  <c r="P62" i="5"/>
  <c r="O62" i="5"/>
  <c r="J60" i="5"/>
  <c r="F60" i="5"/>
  <c r="P59" i="5"/>
  <c r="O59" i="5"/>
  <c r="P58" i="5"/>
  <c r="O58" i="5"/>
  <c r="J50" i="5"/>
  <c r="L50" i="5" s="1"/>
  <c r="F50" i="5"/>
  <c r="P48" i="5"/>
  <c r="O48" i="5"/>
  <c r="L48" i="5"/>
  <c r="H48" i="5"/>
  <c r="P47" i="5"/>
  <c r="O47" i="5"/>
  <c r="L47" i="5"/>
  <c r="H47" i="5"/>
  <c r="P46" i="5"/>
  <c r="O46" i="5"/>
  <c r="L46" i="5"/>
  <c r="H46" i="5"/>
  <c r="P45" i="5"/>
  <c r="O45" i="5"/>
  <c r="L45" i="5"/>
  <c r="H45" i="5"/>
  <c r="P44" i="5"/>
  <c r="O44" i="5"/>
  <c r="L44" i="5"/>
  <c r="H44" i="5"/>
  <c r="P42" i="5"/>
  <c r="O42" i="5"/>
  <c r="P40" i="5"/>
  <c r="O40" i="5"/>
  <c r="L40" i="5"/>
  <c r="H40" i="5"/>
  <c r="P39" i="5"/>
  <c r="O39" i="5"/>
  <c r="L39" i="5"/>
  <c r="H39" i="5"/>
  <c r="P35" i="5"/>
  <c r="O35" i="5"/>
  <c r="L35" i="5"/>
  <c r="H35" i="5"/>
  <c r="P34" i="5"/>
  <c r="O34" i="5"/>
  <c r="L34" i="5"/>
  <c r="H34" i="5"/>
  <c r="P33" i="5"/>
  <c r="O33" i="5"/>
  <c r="L33" i="5"/>
  <c r="H33" i="5"/>
  <c r="P32" i="5"/>
  <c r="O32" i="5"/>
  <c r="L32" i="5"/>
  <c r="H32" i="5"/>
  <c r="P31" i="5"/>
  <c r="O31" i="5"/>
  <c r="L31" i="5"/>
  <c r="H31" i="5"/>
  <c r="P30" i="5"/>
  <c r="O30" i="5"/>
  <c r="L30" i="5"/>
  <c r="H30" i="5"/>
  <c r="P29" i="5"/>
  <c r="O29" i="5"/>
  <c r="L29" i="5"/>
  <c r="H29" i="5"/>
  <c r="P28" i="5"/>
  <c r="O28" i="5"/>
  <c r="L28" i="5"/>
  <c r="H28" i="5"/>
  <c r="P27" i="5"/>
  <c r="O27" i="5"/>
  <c r="L27" i="5"/>
  <c r="H27" i="5"/>
  <c r="P26" i="5"/>
  <c r="O26" i="5"/>
  <c r="L26" i="5"/>
  <c r="H26" i="5"/>
  <c r="P23" i="5"/>
  <c r="O23" i="5"/>
  <c r="L23" i="5"/>
  <c r="H23" i="5"/>
  <c r="P22" i="5"/>
  <c r="O22" i="5"/>
  <c r="L22" i="5"/>
  <c r="H22" i="5"/>
  <c r="P21" i="5"/>
  <c r="O21" i="5"/>
  <c r="L21" i="5"/>
  <c r="H21" i="5"/>
  <c r="P13" i="5"/>
  <c r="O13" i="5"/>
  <c r="O9" i="5"/>
  <c r="J9" i="5"/>
  <c r="F9" i="5"/>
  <c r="K113" i="6"/>
  <c r="E113" i="6"/>
  <c r="F113" i="6"/>
  <c r="G113" i="6"/>
  <c r="I113" i="6"/>
  <c r="D113" i="6"/>
  <c r="K108" i="6"/>
  <c r="K109" i="6"/>
  <c r="K110" i="6"/>
  <c r="K111" i="6"/>
  <c r="K112" i="6"/>
  <c r="K32" i="6"/>
  <c r="K33" i="6"/>
  <c r="K34" i="6"/>
  <c r="K35" i="6"/>
  <c r="K36" i="6"/>
  <c r="K37" i="6"/>
  <c r="E37" i="6"/>
  <c r="F37" i="6"/>
  <c r="G37" i="6"/>
  <c r="I37" i="6"/>
  <c r="D37" i="6"/>
  <c r="I105" i="6"/>
  <c r="I92" i="6"/>
  <c r="I91" i="6"/>
  <c r="I86" i="6"/>
  <c r="I82" i="6"/>
  <c r="I29" i="6"/>
  <c r="I16" i="6"/>
  <c r="I15" i="6"/>
  <c r="I10" i="6"/>
  <c r="I6" i="6"/>
  <c r="P68" i="5" l="1"/>
  <c r="P60" i="5"/>
  <c r="P64" i="5"/>
  <c r="P50" i="5"/>
  <c r="H50" i="5"/>
  <c r="O50" i="5"/>
  <c r="O60" i="5"/>
  <c r="O64" i="5"/>
  <c r="O68" i="5"/>
  <c r="I81" i="6"/>
  <c r="I99" i="6" s="1"/>
  <c r="I106" i="6" s="1"/>
  <c r="I5" i="6"/>
  <c r="I23" i="6" s="1"/>
  <c r="I44" i="6" s="1"/>
  <c r="I30" i="6" l="1"/>
  <c r="I43" i="6" s="1"/>
  <c r="K107" i="6" l="1"/>
  <c r="G105" i="6"/>
  <c r="F105" i="6"/>
  <c r="E105" i="6"/>
  <c r="D105" i="6"/>
  <c r="J36" i="5" s="1"/>
  <c r="L36" i="5" s="1"/>
  <c r="K104" i="6"/>
  <c r="K103" i="6"/>
  <c r="K102" i="6"/>
  <c r="K101" i="6"/>
  <c r="K100" i="6"/>
  <c r="K98" i="6"/>
  <c r="K97" i="6"/>
  <c r="K96" i="6"/>
  <c r="K95" i="6"/>
  <c r="K94" i="6"/>
  <c r="K93" i="6"/>
  <c r="G92" i="6"/>
  <c r="F92" i="6"/>
  <c r="E92" i="6"/>
  <c r="D92" i="6"/>
  <c r="J25" i="5" s="1"/>
  <c r="L25" i="5" s="1"/>
  <c r="G91" i="6"/>
  <c r="F91" i="6"/>
  <c r="E91" i="6"/>
  <c r="D91" i="6"/>
  <c r="J24" i="5" s="1"/>
  <c r="L24" i="5" s="1"/>
  <c r="K90" i="6"/>
  <c r="K89" i="6"/>
  <c r="K88" i="6"/>
  <c r="K87" i="6"/>
  <c r="G86" i="6"/>
  <c r="F86" i="6"/>
  <c r="E86" i="6"/>
  <c r="D86" i="6"/>
  <c r="K85" i="6"/>
  <c r="K84" i="6"/>
  <c r="K83" i="6"/>
  <c r="G82" i="6"/>
  <c r="F82" i="6"/>
  <c r="E82" i="6"/>
  <c r="D82" i="6"/>
  <c r="K31" i="6"/>
  <c r="G29" i="6"/>
  <c r="F29" i="6"/>
  <c r="E29" i="6"/>
  <c r="D29" i="6"/>
  <c r="F36" i="5" s="1"/>
  <c r="K28" i="6"/>
  <c r="K27" i="6"/>
  <c r="K26" i="6"/>
  <c r="K25" i="6"/>
  <c r="K24" i="6"/>
  <c r="K22" i="6"/>
  <c r="K21" i="6"/>
  <c r="K20" i="6"/>
  <c r="K19" i="6"/>
  <c r="K18" i="6"/>
  <c r="K17" i="6"/>
  <c r="G16" i="6"/>
  <c r="F16" i="6"/>
  <c r="E16" i="6"/>
  <c r="D16" i="6"/>
  <c r="F25" i="5" s="1"/>
  <c r="G15" i="6"/>
  <c r="F15" i="6"/>
  <c r="E15" i="6"/>
  <c r="D15" i="6"/>
  <c r="F24" i="5" s="1"/>
  <c r="K14" i="6"/>
  <c r="K13" i="6"/>
  <c r="K12" i="6"/>
  <c r="K11" i="6"/>
  <c r="G10" i="6"/>
  <c r="F10" i="6"/>
  <c r="E10" i="6"/>
  <c r="D10" i="6"/>
  <c r="K9" i="6"/>
  <c r="K8" i="6"/>
  <c r="K7" i="6"/>
  <c r="G6" i="6"/>
  <c r="F6" i="6"/>
  <c r="E6" i="6"/>
  <c r="D6" i="6"/>
  <c r="O36" i="5" l="1"/>
  <c r="P36" i="5"/>
  <c r="H36" i="5"/>
  <c r="O25" i="5"/>
  <c r="H25" i="5"/>
  <c r="P25" i="5"/>
  <c r="O24" i="5"/>
  <c r="P24" i="5"/>
  <c r="H24" i="5"/>
  <c r="E5" i="6"/>
  <c r="E23" i="6" s="1"/>
  <c r="F5" i="6"/>
  <c r="F23" i="6" s="1"/>
  <c r="F44" i="6" s="1"/>
  <c r="F81" i="6"/>
  <c r="F99" i="6" s="1"/>
  <c r="F106" i="6" s="1"/>
  <c r="D5" i="6"/>
  <c r="F20" i="5" s="1"/>
  <c r="K16" i="6"/>
  <c r="G81" i="6"/>
  <c r="G99" i="6" s="1"/>
  <c r="G106" i="6" s="1"/>
  <c r="K82" i="6"/>
  <c r="K92" i="6"/>
  <c r="K105" i="6"/>
  <c r="K91" i="6"/>
  <c r="K10" i="6"/>
  <c r="K86" i="6"/>
  <c r="G5" i="6"/>
  <c r="G23" i="6" s="1"/>
  <c r="E81" i="6"/>
  <c r="E99" i="6" s="1"/>
  <c r="E106" i="6" s="1"/>
  <c r="D81" i="6"/>
  <c r="D23" i="6"/>
  <c r="D44" i="6" s="1"/>
  <c r="K6" i="6"/>
  <c r="K29" i="6"/>
  <c r="K15" i="6"/>
  <c r="D99" i="6" l="1"/>
  <c r="D106" i="6" s="1"/>
  <c r="J20" i="5"/>
  <c r="O20" i="5" s="1"/>
  <c r="F38" i="5"/>
  <c r="H20" i="5"/>
  <c r="G30" i="6"/>
  <c r="G43" i="6" s="1"/>
  <c r="G44" i="6"/>
  <c r="E30" i="6"/>
  <c r="E43" i="6" s="1"/>
  <c r="E44" i="6"/>
  <c r="F30" i="6"/>
  <c r="F43" i="6" s="1"/>
  <c r="K5" i="6"/>
  <c r="K23" i="6" s="1"/>
  <c r="K44" i="6" s="1"/>
  <c r="K81" i="6"/>
  <c r="K99" i="6" s="1"/>
  <c r="K106" i="6" s="1"/>
  <c r="D30" i="6"/>
  <c r="D43" i="6" s="1"/>
  <c r="P20" i="5" l="1"/>
  <c r="J38" i="5"/>
  <c r="P38" i="5" s="1"/>
  <c r="L20" i="5"/>
  <c r="H38" i="5"/>
  <c r="F52" i="5"/>
  <c r="F41" i="5"/>
  <c r="K30" i="6"/>
  <c r="K43" i="6" s="1"/>
  <c r="O38" i="5" l="1"/>
  <c r="L38" i="5"/>
  <c r="J52" i="5"/>
  <c r="O52" i="5" s="1"/>
  <c r="J41" i="5"/>
  <c r="L41" i="5" s="1"/>
  <c r="H52" i="5"/>
  <c r="F11" i="5" s="1"/>
  <c r="I38" i="5" s="1"/>
  <c r="F54" i="5"/>
  <c r="B13" i="5"/>
  <c r="H41" i="5"/>
  <c r="P41" i="5" l="1"/>
  <c r="O41" i="5"/>
  <c r="L52" i="5"/>
  <c r="J11" i="5" s="1"/>
  <c r="J54" i="5"/>
  <c r="L54" i="5" s="1"/>
  <c r="P52" i="5"/>
  <c r="H54" i="5"/>
  <c r="I28" i="5"/>
  <c r="I26" i="5"/>
  <c r="I21" i="5"/>
  <c r="I47" i="5"/>
  <c r="I44" i="5"/>
  <c r="I23" i="5"/>
  <c r="I31" i="5"/>
  <c r="I34" i="5"/>
  <c r="I30" i="5"/>
  <c r="I48" i="5"/>
  <c r="I35" i="5"/>
  <c r="I22" i="5"/>
  <c r="I46" i="5"/>
  <c r="I39" i="5"/>
  <c r="I29" i="5"/>
  <c r="I27" i="5"/>
  <c r="I33" i="5"/>
  <c r="I40" i="5"/>
  <c r="I32" i="5"/>
  <c r="I45" i="5"/>
  <c r="I50" i="5"/>
  <c r="I36" i="5"/>
  <c r="I24" i="5"/>
  <c r="I25" i="5"/>
  <c r="I20" i="5"/>
  <c r="M38" i="5" l="1"/>
  <c r="M27" i="5"/>
  <c r="M31" i="5"/>
  <c r="M30" i="5"/>
  <c r="M28" i="5"/>
  <c r="M32" i="5"/>
  <c r="M29" i="5"/>
  <c r="M33" i="5"/>
  <c r="O11" i="5"/>
  <c r="P11" i="5"/>
  <c r="O54" i="5"/>
  <c r="P54" i="5"/>
  <c r="M46" i="5"/>
  <c r="M40" i="5"/>
  <c r="M35" i="5"/>
  <c r="M24" i="5"/>
  <c r="M50" i="5"/>
  <c r="M36" i="5"/>
  <c r="M34" i="5"/>
  <c r="M25" i="5"/>
  <c r="M48" i="5"/>
  <c r="M44" i="5"/>
  <c r="M45" i="5"/>
  <c r="M21" i="5"/>
  <c r="M23" i="5"/>
  <c r="M47" i="5"/>
  <c r="M39" i="5"/>
  <c r="M26" i="5"/>
  <c r="M22" i="5"/>
  <c r="M20" i="5"/>
</calcChain>
</file>

<file path=xl/sharedStrings.xml><?xml version="1.0" encoding="utf-8"?>
<sst xmlns="http://schemas.openxmlformats.org/spreadsheetml/2006/main" count="428" uniqueCount="209">
  <si>
    <t>1) Pourquoi utiliser ce contenu ?</t>
  </si>
  <si>
    <t>2) Les objectifs de ce contenu</t>
  </si>
  <si>
    <t>3) Les données</t>
  </si>
  <si>
    <t>4) Les étapes</t>
  </si>
  <si>
    <t>5) Les points de vigilance</t>
  </si>
  <si>
    <t>6) Annexes : pour aller plus loin</t>
  </si>
  <si>
    <t>7) Autre contenu du guide qui peut vous intéresser</t>
  </si>
  <si>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</si>
  <si>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</si>
  <si>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</si>
  <si>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</si>
  <si>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</si>
  <si>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</si>
  <si>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</si>
  <si>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</si>
  <si>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</si>
  <si>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</si>
  <si>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</si>
  <si>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</si>
  <si>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</si>
  <si>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</si>
  <si>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</si>
  <si>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</si>
  <si>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</si>
  <si>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</si>
  <si>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</si>
  <si>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</si>
  <si>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</si>
  <si>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Retour Fiche</t>
  </si>
  <si>
    <t>Sources de données</t>
  </si>
  <si>
    <t>Titre 1 : Total Charges de personnel</t>
  </si>
  <si>
    <t>Charges de Personnel Médical</t>
  </si>
  <si>
    <t>Onglet "Synth SA Auxiliaires" VALID RTC</t>
  </si>
  <si>
    <t>- Charges de personnel médical extérieur</t>
  </si>
  <si>
    <t>- Charges de personnel médical salarié (hors interne)</t>
  </si>
  <si>
    <t>- Charges de personnel interne et étudiants salariés</t>
  </si>
  <si>
    <t>Charges de Personnel Non Médical</t>
  </si>
  <si>
    <t>- Charges de personnel autre extérieur</t>
  </si>
  <si>
    <t>- Charges de personnel autre salarié</t>
  </si>
  <si>
    <t>- Charges de personnel soignant extérieur</t>
  </si>
  <si>
    <t>- Charges de personnel soignant salarié</t>
  </si>
  <si>
    <t>- Charges de Personnel Non Médical salarié</t>
  </si>
  <si>
    <t>- Charges de Personnel Non Médical extérieur</t>
  </si>
  <si>
    <t>Titre 2 : Charges à caractère médical</t>
  </si>
  <si>
    <t>Titre 3 : Charges à caractère hôtelier et général</t>
  </si>
  <si>
    <t>Titre 4 : Charges d'amortissement, de provisions et dépréciations, financières et exceptionnelles</t>
  </si>
  <si>
    <t>Charges sur exercice antérieur de personnel (PA)</t>
  </si>
  <si>
    <t>Charges sur exercice antérieur de personnel (PS)</t>
  </si>
  <si>
    <t>Charges sur exercice antérieur de personnel (PM)</t>
  </si>
  <si>
    <t>Total des charges brutes (T1 + T2 + T3 + T4 )</t>
  </si>
  <si>
    <t>Produits hors comptes se terminant en 9 des comptes 63 et 64</t>
  </si>
  <si>
    <t>Remb. sur rémunérat° ou sur charges sociales PM (cptes 6319, 6339, 6419, 6429, 6459, 6479, 6489,649)</t>
  </si>
  <si>
    <t>Remb. sur rémunérat° ou sur charges sociales PI (cptes 6319, 6339, 6419, 6429, 6459, 6479, 6489,649)</t>
  </si>
  <si>
    <t>Remb. sur rémunérat° ou sur charges sociales PS (cptes 6319, 6339, 6419, 6429, 6459, 6479, 6489,6492)</t>
  </si>
  <si>
    <t>Remb. sur rémunérat° ou sur charges sociales PA (cptes 6319, 6339, 6419, 6429, 6459, 6479, 6489,6492)</t>
  </si>
  <si>
    <t>Total des produits déductibles</t>
  </si>
  <si>
    <t>Total charges nettes (T1 + T2 + T3 + T4 - produits déductibles)</t>
  </si>
  <si>
    <t>Montant affecté aux act. subs. et RCRA</t>
  </si>
  <si>
    <t>Nature de l'UO préconisée</t>
  </si>
  <si>
    <t>Nature de l'UO retenue</t>
  </si>
  <si>
    <t>Mode de fonctionnement</t>
  </si>
  <si>
    <t>Nombre d'UO</t>
  </si>
  <si>
    <t>Coût d'UO net</t>
  </si>
  <si>
    <t>Coût d'UO LGG et LM : (Total des charges brutes/ Nb d'UO produites) ; Coût d'UO de SAMT : (Total des charges brutes + LM via les clés / Nb d'UO produites)</t>
  </si>
  <si>
    <t>Onglet "Coût uo des SA Auxiliaires" VALID RTC</t>
  </si>
  <si>
    <t>Coût d'UO du référentiel RTC 2018 de la catégorie de l'ES</t>
  </si>
  <si>
    <t>Onglet "Contrôle ETPR" VALID RTC</t>
  </si>
  <si>
    <t>Coût de PM du référentiel RTC 2018 de la catégorie de l'ES</t>
  </si>
  <si>
    <t>Coût de PNM du référentiel RTC 2018 de la catégorie de l'ES</t>
  </si>
  <si>
    <t>Charges PM_REMU nettées des comptes 6...9</t>
  </si>
  <si>
    <t>ETPR Personnel Médical (hors internes et étudiants)</t>
  </si>
  <si>
    <t>Coût moyen du Personnel Médical salarié (hors interne et étudiant)</t>
  </si>
  <si>
    <t>Charges PI_REMU nettées des comptes 6...9</t>
  </si>
  <si>
    <t>ETPR Personnel interne et étudiant salarié</t>
  </si>
  <si>
    <t>Coût moyen du Personnel interne et étudiant salarié</t>
  </si>
  <si>
    <t>Charges PS_REMU nettées des comptes 6...9</t>
  </si>
  <si>
    <t>ETPR Personnel Soignant</t>
  </si>
  <si>
    <t>Coût moyen du Personnel Soignant</t>
  </si>
  <si>
    <t>Charges PA_REMU nettées des comptes 6...9</t>
  </si>
  <si>
    <t>ETPR Personnel Autre</t>
  </si>
  <si>
    <t>Coût moyen du Personnel autre salarié</t>
  </si>
  <si>
    <t>Charges PNM_REMU nettées des comptes 6...9</t>
  </si>
  <si>
    <t>ETPR Personnel Non Médical</t>
  </si>
  <si>
    <t>Coût moyen du Personnel Non Médical salarié</t>
  </si>
  <si>
    <t>N-1</t>
  </si>
  <si>
    <t>Onglet "Synth SA Auxiliaires" VALID RTC N-1</t>
  </si>
  <si>
    <t>Onglet "Coût uo des SA Auxiliaires" VALID RTC N-1</t>
  </si>
  <si>
    <t>Onglet "Contrôle ETPR" VALID RTC N-1</t>
  </si>
  <si>
    <t>Moyenne
de la catégorie d'ES
RTC 2018</t>
  </si>
  <si>
    <t>En %</t>
  </si>
  <si>
    <t>En valeur</t>
  </si>
  <si>
    <t>Coût de l'UO</t>
  </si>
  <si>
    <t>Nb d'UO (Cf. règles de comptage)</t>
  </si>
  <si>
    <t>Nature de l'UO :</t>
  </si>
  <si>
    <t>Mode de fonctionnement :</t>
  </si>
  <si>
    <t>Total</t>
  </si>
  <si>
    <t>par UO</t>
  </si>
  <si>
    <t>Titres 1 : Charges de personnel</t>
  </si>
  <si>
    <t>Dont PM salarié</t>
  </si>
  <si>
    <t>Dont personnel Internes et étudiants</t>
  </si>
  <si>
    <t>Dont PM extérieur</t>
  </si>
  <si>
    <t>Dont PNM salarié</t>
  </si>
  <si>
    <t>Dont PNM extérieur</t>
  </si>
  <si>
    <t>Titre 2 : Charges à caractére médical</t>
  </si>
  <si>
    <t>Titre 3 : Charges à caractére hôtelier et général</t>
  </si>
  <si>
    <t>Titre 4 : Charges à caractére financier</t>
  </si>
  <si>
    <t>Total produits déductibles</t>
  </si>
  <si>
    <t>Total des charges brutes</t>
  </si>
  <si>
    <t>Total des charges nettes</t>
  </si>
  <si>
    <t>Ratios et indicateurs de productivité RH</t>
  </si>
  <si>
    <t>PM</t>
  </si>
  <si>
    <t>Nb d'ETP PM (hors int. + étud)</t>
  </si>
  <si>
    <t>Coût moyen du Personnel Médical (hors 6721 PM)</t>
  </si>
  <si>
    <t>Nb d'UO produites / ETP PM (hors internes et étudiants)</t>
  </si>
  <si>
    <t>Int-Etud</t>
  </si>
  <si>
    <t>Nb d'ETP Internes et étudiants</t>
  </si>
  <si>
    <t>Coût moyen du Personnel Internes et étudiants (hors 6721 PM)</t>
  </si>
  <si>
    <t>Nb d'UO produites / ETP Internes et étudiants</t>
  </si>
  <si>
    <t>PNM</t>
  </si>
  <si>
    <t>Nb ETP PNM</t>
  </si>
  <si>
    <t>Coût moyen du Personnel non Médical (hors 6721 PNM)</t>
  </si>
  <si>
    <t>Nb d'UO produites / ETP PNM</t>
  </si>
  <si>
    <t>Analyses et/ou Commentaires</t>
  </si>
  <si>
    <t>- les évolutions de ces indicateurs par rapport à l'année N-1</t>
  </si>
  <si>
    <t>- le coût moyen PM et PNM du référentiel RTC de l'année N-1 de la catégorie de l'établissement et l'écart en % par rapport à ce dernier</t>
  </si>
  <si>
    <t>- le coût d'unité d'œuvre du référentiel RTC de l'année N-1 de la catégorie de l'établissement et l'écart en % par rapport à ce dernier</t>
  </si>
  <si>
    <t>- la structure de coût</t>
  </si>
  <si>
    <t>Mode de prise en charge :</t>
  </si>
  <si>
    <t>SA Auxiliaire Médico-technique (SAMT)</t>
  </si>
  <si>
    <t>LM - Pharmacie</t>
  </si>
  <si>
    <t>LM - Stérilisation</t>
  </si>
  <si>
    <t>LM - Génie biomédical</t>
  </si>
  <si>
    <t>LM - Hygiène hospitalière et vigilances</t>
  </si>
  <si>
    <t>LM - Autre logistique médicale</t>
  </si>
  <si>
    <t>Montant total imputé au titre des charges des SA LM via les clés de répartition</t>
  </si>
  <si>
    <t>Total des charges brutes majorées de LM (SAMT) via les clés de répartition</t>
  </si>
  <si>
    <t>SAMT 4</t>
  </si>
  <si>
    <t>Mode de prise en charge</t>
  </si>
  <si>
    <t>SAMT…</t>
  </si>
  <si>
    <t>Bloc chirurgie générale</t>
  </si>
  <si>
    <t>Bloc gynéco-obstétrical</t>
  </si>
  <si>
    <t>Imagerie (hors IRM et SCANNER)</t>
  </si>
  <si>
    <t>Non dédié</t>
  </si>
  <si>
    <t>Interne</t>
  </si>
  <si>
    <t>ICR</t>
  </si>
  <si>
    <t>þ</t>
  </si>
  <si>
    <t>- les ETPR, les modes de fonctionnement et les modes de prise en charge</t>
  </si>
  <si>
    <t>- les charges utilisées pour le calcul du coût de l'unité d'œuvre, le nombre d'unité d'œuvre, le coût de l'unité d'œuvre, le mode de fonctionnement et le mode de prise en charge</t>
  </si>
  <si>
    <r>
      <t xml:space="preserve">Pour </t>
    </r>
    <r>
      <rPr>
        <b/>
        <sz val="9"/>
        <color theme="1"/>
        <rFont val="Verdana"/>
        <family val="2"/>
      </rPr>
      <t>chaque section d'analyse médico-technique</t>
    </r>
    <r>
      <rPr>
        <sz val="9"/>
        <color theme="1"/>
        <rFont val="Verdana"/>
        <family val="2"/>
      </rPr>
      <t>, le montant réparti de la logistique médicale au prorata des clés est identifié par SA de LM.</t>
    </r>
  </si>
  <si>
    <t>Mode de prise en charge : Dédié à la prise en charge des patients hospitalisés en ambulatoire, Non dédié à l'ambulatoire, Non concerné</t>
  </si>
  <si>
    <r>
      <t xml:space="preserve">Dans la perspective d'une </t>
    </r>
    <r>
      <rPr>
        <b/>
        <sz val="9"/>
        <rFont val="Verdana"/>
        <family val="2"/>
      </rPr>
      <t>co-utilisation de plateaux techniques</t>
    </r>
    <r>
      <rPr>
        <sz val="9"/>
        <rFont val="Verdana"/>
        <family val="2"/>
      </rPr>
      <t xml:space="preserve">, la SAMT doit être typée </t>
    </r>
    <r>
      <rPr>
        <b/>
        <sz val="9"/>
        <rFont val="Verdana"/>
        <family val="2"/>
      </rPr>
      <t>"Groupement"</t>
    </r>
    <r>
      <rPr>
        <sz val="9"/>
        <rFont val="Verdana"/>
        <family val="2"/>
      </rPr>
      <t>.</t>
    </r>
  </si>
  <si>
    <t>Exemples : Co-utilisations de Scanner et/ou d'IRM</t>
  </si>
  <si>
    <r>
      <t xml:space="preserve">- ATIH - </t>
    </r>
    <r>
      <rPr>
        <u/>
        <sz val="9"/>
        <color theme="1"/>
        <rFont val="Verdana"/>
        <family val="2"/>
      </rPr>
      <t>Outil VALID RTC</t>
    </r>
    <r>
      <rPr>
        <sz val="9"/>
        <color theme="1"/>
        <rFont val="Verdana"/>
        <family val="2"/>
      </rPr>
      <t xml:space="preserve"> : </t>
    </r>
    <r>
      <rPr>
        <b/>
        <sz val="9"/>
        <color theme="1"/>
        <rFont val="Verdana"/>
        <family val="2"/>
      </rPr>
      <t>guide de lecture des tableaux de contrôle</t>
    </r>
    <r>
      <rPr>
        <sz val="9"/>
        <color theme="1"/>
        <rFont val="Verdana"/>
        <family val="2"/>
      </rPr>
      <t>.</t>
    </r>
  </si>
  <si>
    <r>
      <t xml:space="preserve">- ATIH - </t>
    </r>
    <r>
      <rPr>
        <b/>
        <sz val="9"/>
        <color theme="1"/>
        <rFont val="Verdana"/>
        <family val="2"/>
      </rPr>
      <t>Guide de recueil des UO et des clés.</t>
    </r>
  </si>
  <si>
    <r>
      <t xml:space="preserve">- ATIH - </t>
    </r>
    <r>
      <rPr>
        <b/>
        <u/>
        <sz val="9"/>
        <color theme="1"/>
        <rFont val="Verdana"/>
        <family val="2"/>
      </rPr>
      <t>Fiches pédagogiques</t>
    </r>
    <r>
      <rPr>
        <sz val="9"/>
        <color theme="1"/>
        <rFont val="Verdana"/>
        <family val="2"/>
      </rPr>
      <t xml:space="preserve"> : 
   . Fiche 2018-05 : Typage des sections de LGG, SAMT, LM, STR et plateaux PSY dans Arcanh RTC
   . Fiche 2018-03 : Traitement des groupements
   . Fiche 2019-06 : UO Sté</t>
    </r>
  </si>
  <si>
    <t>SP - Spécialités pharmaceutiques non facturables en sus</t>
  </si>
  <si>
    <t>SP FES - Spécialités pharmaceutiques facturables en sus</t>
  </si>
  <si>
    <t>SP ATU - Spécialités pharmaceutiques sous ATU</t>
  </si>
  <si>
    <t>PSL - Produits sanguins labiles</t>
  </si>
  <si>
    <t>DMI - Dispositifs médicaux implantables non facturables en sus</t>
  </si>
  <si>
    <t>DMI FES - Dispositifs médicaux implantables facturables en sus</t>
  </si>
  <si>
    <t>CM - Consommables médicaux</t>
  </si>
  <si>
    <t>ALMM - Amortissements et locations des matériels</t>
  </si>
  <si>
    <t>EMMM - Entretien et maintenance des matériels</t>
  </si>
  <si>
    <t>Total des charges brutes majorées de LM (SAMT) via les clés de répartition (hors SP FES, DMI FES)</t>
  </si>
  <si>
    <t>Spécialités pharmaceutiques non facturables en sus</t>
  </si>
  <si>
    <t>Spécialités pharmaceutiques facturables en sus</t>
  </si>
  <si>
    <t>Spécialités pharmaceutiques sous ATU</t>
  </si>
  <si>
    <t>Produits sanguins labiles</t>
  </si>
  <si>
    <t>Dispositifs médicaux implantables non facturables en sus</t>
  </si>
  <si>
    <t>Dispositifs médicaux implantables facturables en sus</t>
  </si>
  <si>
    <t>Consommables médicaux</t>
  </si>
  <si>
    <t>Amortissements et locations des matériels</t>
  </si>
  <si>
    <t>Entretien et maintenance des matériels</t>
  </si>
  <si>
    <t>Total SAMT</t>
  </si>
  <si>
    <t>Mode de fonctionnement : Interne, Sous Traité, Groupement</t>
  </si>
  <si>
    <r>
      <rPr>
        <b/>
        <u/>
        <sz val="9"/>
        <color theme="1"/>
        <rFont val="Verdana"/>
        <family val="2"/>
      </rPr>
      <t>Informations sur le typage des plateaux médico-techniques</t>
    </r>
    <r>
      <rPr>
        <sz val="9"/>
        <color theme="1"/>
        <rFont val="Verdana"/>
        <family val="2"/>
      </rPr>
      <t xml:space="preserve"> :</t>
    </r>
  </si>
  <si>
    <r>
      <rPr>
        <b/>
        <sz val="9"/>
        <color theme="1"/>
        <rFont val="Verdana"/>
        <family val="2"/>
      </rPr>
      <t>Où trouver les données ?</t>
    </r>
    <r>
      <rPr>
        <sz val="9"/>
        <color theme="1"/>
        <rFont val="Verdana"/>
        <family val="2"/>
      </rPr>
      <t xml:space="preserve">
Les données sont issues du fichier contenant les tableaux VALID-RTC de contrôle et de restitution pour chaque établissement, téléchargeable à partir de la plateforme e-RTC.
Les sources de données sont le VALID RTC N et N-1 : 
- l'onglet "</t>
    </r>
    <r>
      <rPr>
        <b/>
        <i/>
        <sz val="9"/>
        <color theme="1"/>
        <rFont val="Verdana"/>
        <family val="2"/>
      </rPr>
      <t>Synth. SA auxiliaires</t>
    </r>
    <r>
      <rPr>
        <sz val="9"/>
        <color theme="1"/>
        <rFont val="Verdana"/>
        <family val="2"/>
      </rPr>
      <t>" étant destiné à récupérer les données "établissements"
- les onglets "</t>
    </r>
    <r>
      <rPr>
        <b/>
        <i/>
        <sz val="9"/>
        <color theme="1"/>
        <rFont val="Verdana"/>
        <family val="2"/>
      </rPr>
      <t>4.1 - Contrôle des ETPR</t>
    </r>
    <r>
      <rPr>
        <sz val="9"/>
        <color theme="1"/>
        <rFont val="Verdana"/>
        <family val="2"/>
      </rPr>
      <t>" et "</t>
    </r>
    <r>
      <rPr>
        <b/>
        <i/>
        <sz val="9"/>
        <color theme="1"/>
        <rFont val="Verdana"/>
        <family val="2"/>
      </rPr>
      <t>5- Coût UO des SA auxiliaires</t>
    </r>
    <r>
      <rPr>
        <sz val="9"/>
        <color theme="1"/>
        <rFont val="Verdana"/>
        <family val="2"/>
      </rPr>
      <t>" pour les données du "référentiel N-1"</t>
    </r>
  </si>
  <si>
    <t>CH du Capitole</t>
  </si>
  <si>
    <r>
      <rPr>
        <sz val="9"/>
        <color theme="1"/>
        <rFont val="Verdana"/>
        <family val="2"/>
      </rPr>
      <t xml:space="preserve">- Le cas échéant, </t>
    </r>
    <r>
      <rPr>
        <b/>
        <sz val="9"/>
        <color theme="1"/>
        <rFont val="Verdana"/>
        <family val="2"/>
      </rPr>
      <t>mettre en œuvre et automatiser si possible le recueil des UO</t>
    </r>
    <r>
      <rPr>
        <sz val="9"/>
        <color theme="1"/>
        <rFont val="Verdana"/>
        <family val="2"/>
      </rPr>
      <t xml:space="preserve"> telles que décrites dans le guide avec les responsables métiers concernés.</t>
    </r>
  </si>
  <si>
    <r>
      <rPr>
        <b/>
        <sz val="9"/>
        <color theme="1"/>
        <rFont val="Verdana"/>
        <family val="2"/>
      </rPr>
      <t>- Fiabiliser</t>
    </r>
    <r>
      <rPr>
        <sz val="9"/>
        <color theme="1"/>
        <rFont val="Verdana"/>
        <family val="2"/>
      </rPr>
      <t xml:space="preserve"> ce recueil et </t>
    </r>
    <r>
      <rPr>
        <b/>
        <sz val="9"/>
        <color theme="1"/>
        <rFont val="Verdana"/>
        <family val="2"/>
      </rPr>
      <t>son exhaustivité</t>
    </r>
    <r>
      <rPr>
        <sz val="9"/>
        <color theme="1"/>
        <rFont val="Verdana"/>
        <family val="2"/>
      </rPr>
      <t xml:space="preserve"> en fonction des analyses faites chaque année sur les unités d'œuvre</t>
    </r>
  </si>
  <si>
    <r>
      <rPr>
        <b/>
        <sz val="9"/>
        <color theme="1"/>
        <rFont val="Verdana"/>
        <family val="2"/>
      </rPr>
      <t>- Comprendre la différence entre une unité d'œuvre et une clé de répartition</t>
    </r>
    <r>
      <rPr>
        <sz val="9"/>
        <color theme="1"/>
        <rFont val="Verdana"/>
        <family val="2"/>
      </rPr>
      <t xml:space="preserve"> sera </t>
    </r>
    <r>
      <rPr>
        <b/>
        <sz val="9"/>
        <color theme="1"/>
        <rFont val="Verdana"/>
        <family val="2"/>
      </rPr>
      <t>utile pour l'interprétation de vos données</t>
    </r>
    <r>
      <rPr>
        <sz val="9"/>
        <color theme="1"/>
        <rFont val="Verdana"/>
        <family val="2"/>
      </rPr>
      <t>, mais aussi pour le choix d'une UO et/ou d'une clé de répartition si vous ne disposez pas de celles préconisées.</t>
    </r>
  </si>
  <si>
    <r>
      <t>- L'</t>
    </r>
    <r>
      <rPr>
        <b/>
        <sz val="9"/>
        <rFont val="Verdana"/>
        <family val="2"/>
      </rPr>
      <t>interprétation des données par rapport à l'année précédente</t>
    </r>
    <r>
      <rPr>
        <sz val="9"/>
        <rFont val="Verdana"/>
        <family val="2"/>
      </rPr>
      <t xml:space="preserve"> fera l'objet d'une </t>
    </r>
    <r>
      <rPr>
        <b/>
        <sz val="9"/>
        <rFont val="Verdana"/>
        <family val="2"/>
      </rPr>
      <t>attention particulière dans l'hypothèse d'un changement de mode de fonctionnement et/ou d'un changement de clé d'UO.</t>
    </r>
  </si>
  <si>
    <r>
      <t xml:space="preserve">Les activités de </t>
    </r>
    <r>
      <rPr>
        <b/>
        <sz val="9"/>
        <color theme="1"/>
        <rFont val="Verdana"/>
        <family val="2"/>
      </rPr>
      <t>Dialyse</t>
    </r>
    <r>
      <rPr>
        <sz val="9"/>
        <color theme="1"/>
        <rFont val="Verdana"/>
        <family val="2"/>
      </rPr>
      <t xml:space="preserve">, </t>
    </r>
    <r>
      <rPr>
        <b/>
        <sz val="9"/>
        <color theme="1"/>
        <rFont val="Verdana"/>
        <family val="2"/>
      </rPr>
      <t>Radiothérapie</t>
    </r>
    <r>
      <rPr>
        <sz val="9"/>
        <color theme="1"/>
        <rFont val="Verdana"/>
        <family val="2"/>
      </rPr>
      <t xml:space="preserve"> et </t>
    </r>
    <r>
      <rPr>
        <b/>
        <sz val="9"/>
        <color theme="1"/>
        <rFont val="Verdana"/>
        <family val="2"/>
      </rPr>
      <t>Urgences</t>
    </r>
    <r>
      <rPr>
        <sz val="9"/>
        <color theme="1"/>
        <rFont val="Verdana"/>
        <family val="2"/>
      </rPr>
      <t xml:space="preserve">, classées en SAMT dans l’arbre analytique, sont définies comme fonction définitive dans le RTC.
</t>
    </r>
    <r>
      <rPr>
        <b/>
        <sz val="9"/>
        <color theme="1"/>
        <rFont val="Verdana"/>
        <family val="2"/>
      </rPr>
      <t>Ces dernières seront traitées dans les fiches dédiées aux SAC.</t>
    </r>
  </si>
  <si>
    <r>
      <rPr>
        <b/>
        <sz val="9"/>
        <color theme="1"/>
        <rFont val="Verdana"/>
        <family val="2"/>
      </rPr>
      <t>Selon le principe que la grille de saisie et la maquette restent modifiables au gré des recherches et des besoins des utilisateurs</t>
    </r>
    <r>
      <rPr>
        <sz val="9"/>
        <color theme="1"/>
        <rFont val="Verdana"/>
        <family val="2"/>
      </rPr>
      <t xml:space="preserve">, </t>
    </r>
    <r>
      <rPr>
        <b/>
        <sz val="9"/>
        <color theme="1"/>
        <rFont val="Verdana"/>
        <family val="2"/>
      </rPr>
      <t>la colonne B de la grille de saisie indique la référence de la ligne à rechercher</t>
    </r>
    <r>
      <rPr>
        <sz val="9"/>
        <color theme="1"/>
        <rFont val="Verdana"/>
        <family val="2"/>
      </rPr>
      <t xml:space="preserve"> pour la colonne étudiée (</t>
    </r>
    <r>
      <rPr>
        <b/>
        <sz val="9"/>
        <color theme="1"/>
        <rFont val="Verdana"/>
        <family val="2"/>
      </rPr>
      <t>no_index_col</t>
    </r>
    <r>
      <rPr>
        <sz val="9"/>
        <color theme="1"/>
        <rFont val="Verdana"/>
        <family val="2"/>
      </rPr>
      <t xml:space="preserve">).
La fonction principalement utilisée dans la maquette est </t>
    </r>
    <r>
      <rPr>
        <b/>
        <sz val="9"/>
        <color theme="1"/>
        <rFont val="Verdana"/>
        <family val="2"/>
      </rPr>
      <t xml:space="preserve">RECHERCHEH(valeur_cherchée, table_matrice, no_index_col, [valeur_proche]).
</t>
    </r>
    <r>
      <rPr>
        <sz val="9"/>
        <color theme="1"/>
        <rFont val="Verdana"/>
        <family val="2"/>
      </rPr>
      <t>Ce point de repère est destiné à modifier plus facilement la grille de saisie et/ou la maquette.</t>
    </r>
  </si>
  <si>
    <t>A titre d'illustration, des exemples de commentaires sont rédigés à partir des résultats de l'activité 'imagerie'.</t>
  </si>
  <si>
    <t>- ATIH - Arbre analytique ENC/RTC en vigueur</t>
  </si>
  <si>
    <t>Plan d'actions</t>
  </si>
  <si>
    <t xml:space="preserve">
</t>
  </si>
  <si>
    <t>VALID RTC ; plateaux techniques ; UO ; Clé de répartition ; ETPR ; Coût moyen d'une UO ; Référentiel</t>
  </si>
  <si>
    <r>
      <t xml:space="preserve">L'objectif principal de la présente fiche est :
- de permettre aux établissements de </t>
    </r>
    <r>
      <rPr>
        <b/>
        <sz val="9"/>
        <rFont val="Verdana"/>
        <family val="2"/>
      </rPr>
      <t>s'approprier la richesse des données fournies par VALID-RTC</t>
    </r>
    <r>
      <rPr>
        <sz val="9"/>
        <rFont val="Verdana"/>
        <family val="2"/>
      </rPr>
      <t xml:space="preserve">
- de créer une </t>
    </r>
    <r>
      <rPr>
        <b/>
        <sz val="9"/>
        <rFont val="Verdana"/>
        <family val="2"/>
      </rPr>
      <t>démarche d'analyse "routinière"</t>
    </r>
    <r>
      <rPr>
        <sz val="9"/>
        <rFont val="Verdana"/>
        <family val="2"/>
      </rPr>
      <t xml:space="preserve">
- d'</t>
    </r>
    <r>
      <rPr>
        <b/>
        <sz val="9"/>
        <rFont val="Verdana"/>
        <family val="2"/>
      </rPr>
      <t>approfondir</t>
    </r>
    <r>
      <rPr>
        <sz val="9"/>
        <rFont val="Verdana"/>
        <family val="2"/>
      </rPr>
      <t xml:space="preserve"> ses mesures et ses outils d'aide au pilotage par le recours à la</t>
    </r>
    <r>
      <rPr>
        <b/>
        <sz val="9"/>
        <rFont val="Verdana"/>
        <family val="2"/>
      </rPr>
      <t xml:space="preserve"> fiche individuelle de restitution</t>
    </r>
    <r>
      <rPr>
        <sz val="9"/>
        <rFont val="Verdana"/>
        <family val="2"/>
      </rPr>
      <t xml:space="preserve"> et le référentiel de coûts disponible </t>
    </r>
    <r>
      <rPr>
        <i/>
        <sz val="9"/>
        <rFont val="Verdana"/>
        <family val="2"/>
      </rPr>
      <t>via</t>
    </r>
    <r>
      <rPr>
        <sz val="9"/>
        <rFont val="Verdana"/>
        <family val="2"/>
      </rPr>
      <t xml:space="preserve"> </t>
    </r>
    <r>
      <rPr>
        <b/>
        <sz val="9"/>
        <rFont val="Verdana"/>
        <family val="2"/>
      </rPr>
      <t>Scansanté</t>
    </r>
    <r>
      <rPr>
        <sz val="9"/>
        <rFont val="Verdana"/>
        <family val="2"/>
      </rPr>
      <t xml:space="preserve">.
L'intérêt est de :
- </t>
    </r>
    <r>
      <rPr>
        <b/>
        <sz val="9"/>
        <rFont val="Verdana"/>
        <family val="2"/>
      </rPr>
      <t>Fiabiliser les données</t>
    </r>
    <r>
      <rPr>
        <sz val="9"/>
        <rFont val="Verdana"/>
        <family val="2"/>
      </rPr>
      <t xml:space="preserve"> de chaque section d'analyse médico-technique et de logistique médicale (charges brutes, produits déductibles, unité d'œuvre, ETPr).
- Comparer ses données avec le </t>
    </r>
    <r>
      <rPr>
        <b/>
        <sz val="9"/>
        <rFont val="Verdana"/>
        <family val="2"/>
      </rPr>
      <t>référentiel national</t>
    </r>
    <r>
      <rPr>
        <sz val="9"/>
        <rFont val="Verdana"/>
        <family val="2"/>
      </rPr>
      <t xml:space="preserve">.
- Permettre aux établissements qui le souhaitent une trame de restitution interne, utilisable en l'état après saisie ou recopie des données puis personnalisable et évolutive au gré des utilisations et selon les besoins de l'établissement, </t>
    </r>
    <r>
      <rPr>
        <b/>
        <sz val="9"/>
        <rFont val="Verdana"/>
        <family val="2"/>
      </rPr>
      <t>notamment dans le dialogue de gestion.</t>
    </r>
  </si>
  <si>
    <r>
      <t>Pour</t>
    </r>
    <r>
      <rPr>
        <b/>
        <sz val="9"/>
        <color theme="1"/>
        <rFont val="Verdana"/>
        <family val="2"/>
      </rPr>
      <t xml:space="preserve"> chaque section d'analyse médico-technique</t>
    </r>
    <r>
      <rPr>
        <sz val="9"/>
        <color theme="1"/>
        <rFont val="Verdana"/>
        <family val="2"/>
      </rPr>
      <t>, un focus est effectué sur :</t>
    </r>
  </si>
  <si>
    <t>1ère étape : le recueil des données</t>
  </si>
  <si>
    <r>
      <rPr>
        <b/>
        <i/>
        <sz val="9"/>
        <rFont val="Verdana"/>
        <family val="2"/>
      </rPr>
      <t>2ème étape : la saisie des données</t>
    </r>
    <r>
      <rPr>
        <sz val="9"/>
        <rFont val="Verdana"/>
        <family val="2"/>
      </rPr>
      <t xml:space="preserve">
Une fois la 1ère étape réalisée, l'établissement peut saisir ses données. Le principe est de "copier-coller" les données nécessaires de la source de données (onglets définis du VALID RTC) vers la grille de saisie dans les cellules grisées concernées.
Pour les SAMT, la liste déroulante s'actualise en fonction du nombre de colonnes insérées et des données figurant dans la grille de saisie SAMT.</t>
    </r>
  </si>
  <si>
    <t>3ème étape : maquette sur les évolutions des principaux indicateurs par LGG</t>
  </si>
  <si>
    <r>
      <t xml:space="preserve">Outil de fiabilisation de vos données, VALID RTC permet </t>
    </r>
    <r>
      <rPr>
        <b/>
        <sz val="9"/>
        <color theme="1"/>
        <rFont val="Verdana"/>
        <family val="2"/>
      </rPr>
      <t>une première comparaison des coûts des plateaux techniques par rapport à celui du référentiel national pour la même catégorie d'établissements</t>
    </r>
    <r>
      <rPr>
        <sz val="9"/>
        <color theme="1"/>
        <rFont val="Verdana"/>
        <family val="2"/>
      </rPr>
      <t xml:space="preserve"> (données de l'année N-1).
Ce fichier contient une maquette aux établissements pour une utilisation interne (restitutions, etc.).
Cette maquette est modifiable et évolutive afin de permettre toute personnalisation.</t>
    </r>
  </si>
  <si>
    <r>
      <rPr>
        <b/>
        <sz val="9"/>
        <rFont val="Verdana"/>
        <family val="2"/>
      </rPr>
      <t>A la différence des sections de logistique et gestion générale (LGG) et de logistique médicatle (LM)</t>
    </r>
    <r>
      <rPr>
        <sz val="9"/>
        <rFont val="Verdana"/>
        <family val="2"/>
      </rPr>
      <t xml:space="preserve"> qui resposent sur une liste "fermée", les plateaux médico-techniques présentent des choix multiples et variés.
Aussi, </t>
    </r>
    <r>
      <rPr>
        <b/>
        <sz val="9"/>
        <rFont val="Verdana"/>
        <family val="2"/>
      </rPr>
      <t>la première étape à réaliser dans la grille de saisie consiste à insérer autant de colonnes que de sections médico-techniques déclarées dans le RTC ou à analyser</t>
    </r>
    <r>
      <rPr>
        <sz val="9"/>
        <rFont val="Verdana"/>
        <family val="2"/>
      </rPr>
      <t>.</t>
    </r>
  </si>
  <si>
    <r>
      <rPr>
        <b/>
        <sz val="9"/>
        <color rgb="FFFF0000"/>
        <rFont val="Verdana"/>
        <family val="2"/>
      </rPr>
      <t>Si l'établissement n'a pas utilisé la clé du guide</t>
    </r>
    <r>
      <rPr>
        <sz val="9"/>
        <color rgb="FFFF0000"/>
        <rFont val="Verdana"/>
        <family val="2"/>
      </rPr>
      <t xml:space="preserve">, </t>
    </r>
    <r>
      <rPr>
        <b/>
        <u/>
        <sz val="9"/>
        <color rgb="FFFF0000"/>
        <rFont val="Verdana"/>
        <family val="2"/>
      </rPr>
      <t>la comparaison avec le référentiel ne sera plus possible pour l'activité concernée</t>
    </r>
    <r>
      <rPr>
        <sz val="9"/>
        <color rgb="FFFF0000"/>
        <rFont val="Verdana"/>
        <family val="2"/>
      </rPr>
      <t>.</t>
    </r>
  </si>
  <si>
    <t>Analyse des coûts unitaire de l'UO décomposés par postes de dépenses</t>
  </si>
  <si>
    <r>
      <t xml:space="preserve">S'agissant de l'activité </t>
    </r>
    <r>
      <rPr>
        <b/>
        <sz val="10"/>
        <color theme="1"/>
        <rFont val="Verdana"/>
        <family val="2"/>
      </rPr>
      <t>d'imagerie hors IRM et scanner</t>
    </r>
    <r>
      <rPr>
        <sz val="10"/>
        <color theme="1"/>
        <rFont val="Verdana"/>
        <family val="2"/>
      </rPr>
      <t xml:space="preserve">, le </t>
    </r>
    <r>
      <rPr>
        <b/>
        <sz val="10"/>
        <color theme="1"/>
        <rFont val="Verdana"/>
        <family val="2"/>
      </rPr>
      <t>coût moyen par ICR</t>
    </r>
    <r>
      <rPr>
        <sz val="10"/>
        <color theme="1"/>
        <rFont val="Verdana"/>
        <family val="2"/>
      </rPr>
      <t xml:space="preserve"> pour le CH a été de </t>
    </r>
    <r>
      <rPr>
        <b/>
        <sz val="10"/>
        <color theme="1"/>
        <rFont val="Verdana"/>
        <family val="2"/>
      </rPr>
      <t>1,61€</t>
    </r>
    <r>
      <rPr>
        <sz val="10"/>
        <color theme="1"/>
        <rFont val="Verdana"/>
        <family val="2"/>
      </rPr>
      <t xml:space="preserve"> en 2019. Ce résultat est en </t>
    </r>
    <r>
      <rPr>
        <b/>
        <sz val="10"/>
        <color theme="1"/>
        <rFont val="Verdana"/>
        <family val="2"/>
      </rPr>
      <t>baisse sensible</t>
    </r>
    <r>
      <rPr>
        <sz val="10"/>
        <color theme="1"/>
        <rFont val="Verdana"/>
        <family val="2"/>
      </rPr>
      <t xml:space="preserve"> par rapport à l'année pécédente (-8% et -0,13€ par ICR).
Les </t>
    </r>
    <r>
      <rPr>
        <b/>
        <sz val="10"/>
        <color theme="1"/>
        <rFont val="Verdana"/>
        <family val="2"/>
      </rPr>
      <t>charges brutes majorées</t>
    </r>
    <r>
      <rPr>
        <sz val="10"/>
        <color theme="1"/>
        <rFont val="Verdana"/>
        <family val="2"/>
      </rPr>
      <t xml:space="preserve"> 2019 se sont élevés à près de </t>
    </r>
    <r>
      <rPr>
        <b/>
        <sz val="10"/>
        <color theme="1"/>
        <rFont val="Verdana"/>
        <family val="2"/>
      </rPr>
      <t>1 470k€</t>
    </r>
    <r>
      <rPr>
        <sz val="10"/>
        <color theme="1"/>
        <rFont val="Verdana"/>
        <family val="2"/>
      </rPr>
      <t xml:space="preserve">, montant en </t>
    </r>
    <r>
      <rPr>
        <b/>
        <sz val="10"/>
        <color theme="1"/>
        <rFont val="Verdana"/>
        <family val="2"/>
      </rPr>
      <t>recul</t>
    </r>
    <r>
      <rPr>
        <sz val="10"/>
        <color theme="1"/>
        <rFont val="Verdana"/>
        <family val="2"/>
      </rPr>
      <t xml:space="preserve"> (-5% et -72k€) par rapport à 2018.
De façon plus détaillée, en 2019, les charges de </t>
    </r>
    <r>
      <rPr>
        <b/>
        <sz val="10"/>
        <color theme="1"/>
        <rFont val="Verdana"/>
        <family val="2"/>
      </rPr>
      <t>personnel</t>
    </r>
    <r>
      <rPr>
        <sz val="10"/>
        <color theme="1"/>
        <rFont val="Verdana"/>
        <family val="2"/>
      </rPr>
      <t xml:space="preserve"> concentrent la </t>
    </r>
    <r>
      <rPr>
        <b/>
        <sz val="10"/>
        <color theme="1"/>
        <rFont val="Verdana"/>
        <family val="2"/>
      </rPr>
      <t>très grande majorité</t>
    </r>
    <r>
      <rPr>
        <sz val="10"/>
        <color theme="1"/>
        <rFont val="Verdana"/>
        <family val="2"/>
      </rPr>
      <t xml:space="preserve"> (</t>
    </r>
    <r>
      <rPr>
        <b/>
        <sz val="10"/>
        <color theme="1"/>
        <rFont val="Verdana"/>
        <family val="2"/>
      </rPr>
      <t>80%</t>
    </r>
    <r>
      <rPr>
        <sz val="10"/>
        <color theme="1"/>
        <rFont val="Verdana"/>
        <family val="2"/>
      </rPr>
      <t xml:space="preserve"> et 1 170k€) du coût (équivalent à 1,28€ par ICR). Elles sont suivies les charges à caractère médical (</t>
    </r>
    <r>
      <rPr>
        <b/>
        <sz val="10"/>
        <color theme="1"/>
        <rFont val="Verdana"/>
        <family val="2"/>
      </rPr>
      <t>titre 2</t>
    </r>
    <r>
      <rPr>
        <sz val="10"/>
        <color theme="1"/>
        <rFont val="Verdana"/>
        <family val="2"/>
      </rPr>
      <t xml:space="preserve"> : </t>
    </r>
    <r>
      <rPr>
        <b/>
        <sz val="10"/>
        <color theme="1"/>
        <rFont val="Verdana"/>
        <family val="2"/>
      </rPr>
      <t>13%</t>
    </r>
    <r>
      <rPr>
        <sz val="10"/>
        <color theme="1"/>
        <rFont val="Verdana"/>
        <family val="2"/>
      </rPr>
      <t xml:space="preserve">, 188k€ et 0,21€ par ICR).
Plus de </t>
    </r>
    <r>
      <rPr>
        <b/>
        <sz val="10"/>
        <color theme="1"/>
        <rFont val="Verdana"/>
        <family val="2"/>
      </rPr>
      <t>913 000 ICR</t>
    </r>
    <r>
      <rPr>
        <sz val="10"/>
        <color theme="1"/>
        <rFont val="Verdana"/>
        <family val="2"/>
      </rPr>
      <t xml:space="preserve"> (soit environ 2 500 par jour calendaire) ont été réalisés, activité totalement internalisée en 2019. Ce </t>
    </r>
    <r>
      <rPr>
        <b/>
        <sz val="10"/>
        <color theme="1"/>
        <rFont val="Verdana"/>
        <family val="2"/>
      </rPr>
      <t>volume</t>
    </r>
    <r>
      <rPr>
        <sz val="10"/>
        <color theme="1"/>
        <rFont val="Verdana"/>
        <family val="2"/>
      </rPr>
      <t xml:space="preserve"> est en </t>
    </r>
    <r>
      <rPr>
        <b/>
        <sz val="10"/>
        <color theme="1"/>
        <rFont val="Verdana"/>
        <family val="2"/>
      </rPr>
      <t>stable</t>
    </r>
    <r>
      <rPr>
        <sz val="10"/>
        <color theme="1"/>
        <rFont val="Verdana"/>
        <family val="2"/>
      </rPr>
      <t xml:space="preserve"> par rapport à 2018 (+3% et +28 294 ICR).
Du point de vue des ressources humaines, </t>
    </r>
    <r>
      <rPr>
        <b/>
        <sz val="10"/>
        <color theme="1"/>
        <rFont val="Verdana"/>
        <family val="2"/>
      </rPr>
      <t>18,67 ETP</t>
    </r>
    <r>
      <rPr>
        <sz val="10"/>
        <color theme="1"/>
        <rFont val="Verdana"/>
        <family val="2"/>
      </rPr>
      <t xml:space="preserve"> ont été identifiés sur la fonction en 2019, dont 2,24 ETP pour le personnel médical. Ces effectifs sont en </t>
    </r>
    <r>
      <rPr>
        <b/>
        <sz val="10"/>
        <color theme="1"/>
        <rFont val="Verdana"/>
        <family val="2"/>
      </rPr>
      <t>net recul</t>
    </r>
    <r>
      <rPr>
        <sz val="10"/>
        <color theme="1"/>
        <rFont val="Verdana"/>
        <family val="2"/>
      </rPr>
      <t xml:space="preserve"> par rapport à ceux de 2018 (-2,87 et -13%).
En termes de "</t>
    </r>
    <r>
      <rPr>
        <b/>
        <sz val="10"/>
        <color theme="1"/>
        <rFont val="Verdana"/>
        <family val="2"/>
      </rPr>
      <t>productivité</t>
    </r>
    <r>
      <rPr>
        <sz val="10"/>
        <color theme="1"/>
        <rFont val="Verdana"/>
        <family val="2"/>
      </rPr>
      <t>", le volume de production aboutit à un</t>
    </r>
    <r>
      <rPr>
        <b/>
        <sz val="10"/>
        <color theme="1"/>
        <rFont val="Verdana"/>
        <family val="2"/>
      </rPr>
      <t xml:space="preserve"> nombre moyen d'ICR de 55 583 par ETP non médical</t>
    </r>
    <r>
      <rPr>
        <sz val="10"/>
        <color theme="1"/>
        <rFont val="Verdana"/>
        <family val="2"/>
      </rPr>
      <t xml:space="preserve"> en 2019, chiffre en</t>
    </r>
    <r>
      <rPr>
        <b/>
        <sz val="10"/>
        <color theme="1"/>
        <rFont val="Verdana"/>
        <family val="2"/>
      </rPr>
      <t xml:space="preserve"> forte hausse </t>
    </r>
    <r>
      <rPr>
        <sz val="10"/>
        <color theme="1"/>
        <rFont val="Verdana"/>
        <family val="2"/>
      </rPr>
      <t>par rapport à 2018  (+20%, +9 239 ICR par an). Pour les personnels médicaux, l'évolution est également à la hausse, avec un nombre moyen d'ICR de près de 408 000 par ETP médical en 2019 contre près de 363 000 en 2018 (soit +12 %).</t>
    </r>
  </si>
  <si>
    <t>- Lien vers ScanSanté pour des comparaisons "ciblées"</t>
  </si>
  <si>
    <t xml:space="preserve">- Hospidiag </t>
  </si>
  <si>
    <t>VALID RTC : Les principaux indicateurs 
des plateaux médico-techniques (SAMT)</t>
  </si>
  <si>
    <t>x</t>
  </si>
  <si>
    <t>- ATIH - Fiches de restitution individuelle avec la consommation des SAMT par section en téléchargement sur la plateforme e-RTC</t>
  </si>
  <si>
    <r>
      <t xml:space="preserve">Les maquettes proposées sont personnalisables et peuvent </t>
    </r>
    <r>
      <rPr>
        <b/>
        <sz val="9"/>
        <color theme="1"/>
        <rFont val="Verdana"/>
        <family val="2"/>
      </rPr>
      <t>intégrer des données plus détaillées du référentiel en utilisant la fiche de restitution individuelle ou Scansanté</t>
    </r>
    <r>
      <rPr>
        <sz val="9"/>
        <color theme="1"/>
        <rFont val="Verdana"/>
        <family val="2"/>
      </rPr>
      <t xml:space="preserve">.
</t>
    </r>
    <r>
      <rPr>
        <b/>
        <sz val="9"/>
        <color theme="1"/>
        <rFont val="Verdana"/>
        <family val="2"/>
      </rPr>
      <t>Un exemple est proposé sur la maquette de la fiche RTC_06 du guide.</t>
    </r>
    <r>
      <rPr>
        <sz val="9"/>
        <color theme="1"/>
        <rFont val="Verdana"/>
        <family val="2"/>
      </rPr>
      <t xml:space="preserve">
De la même manière, l'approche effets prix/volume pourrait être mise en évidence dans la maquette.</t>
    </r>
  </si>
  <si>
    <t>- Fiche RTC_06 - VALID RTC : Les principaux indicateurs de logistique et gestion générale (LGG) et leurs dimensions internalisations / sous traitance</t>
  </si>
  <si>
    <t>- Fiche RTC_09 - VALID RTC : Utiliser les coûts des section d'analyse clinique (SAC)</t>
  </si>
  <si>
    <t>- Fiche RTC_11 - VALID RTC : Analyser les écarts avec la méthode effets prix – effets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</si>
</sst>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 #,##0.00\ &quot;€&quot;_-;\-* #,##0.00\ &quot;€&quot;_-;_-* &quot;-&quot;??\ &quot;€&quot;_-;_-@_-"/>
    <numFmt numFmtId="43" formatCode="_-* #,##0.00\ _€_-;\-* #,##0.00\ _€_-;_-* &quot;-&quot;??\ _€_-;_-@_-"/>
    <numFmt numFmtId="164" formatCode="#,##0\ &quot;€&quot;"/>
    <numFmt numFmtId="165" formatCode="#,##0.00\ &quot;€&quot;"/>
    <numFmt numFmtId="166" formatCode="&quot;€&quot;#,##0_);\(&quot;€&quot;#,##0\)"/>
    <numFmt numFmtId="167" formatCode="#,##0.0"/>
    <numFmt numFmtId="168" formatCode="_-* #,##0\ _€_-;\-* #,##0\ _€_-;_-* &quot;-&quot;??\ _€_-;_-@_-"/>
  </numFmts>
  <fonts count="78" x14ac:knownFonts="1">
    <font>
      <sz val="10"/>
      <color theme="1"/>
      <name val="Verdana"/>
      <family val="2"/>
    </font>
    <font>
      <sz val="11"/>
      <color theme="1"/>
      <name val="Calibri"/>
      <family val="2"/>
      <scheme val="minor"/>
    </font>
    <font>
      <sz val="10"/>
      <color rgb="FFFF0000"/>
      <name val="Verdana"/>
      <family val="2"/>
    </font>
    <font>
      <b/>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11"/>
      <color theme="0"/>
      <name val="Calibri"/>
      <family val="2"/>
      <scheme val="minor"/>
    </font>
    <font>
      <sz val="11"/>
      <color theme="0"/>
      <name val="Calibri"/>
      <family val="2"/>
      <scheme val="minor"/>
    </font>
    <font>
      <u/>
      <sz val="10"/>
      <color theme="10"/>
      <name val="Verdana"/>
      <family val="2"/>
    </font>
    <font>
      <u/>
      <sz val="10"/>
      <color theme="0"/>
      <name val="Verdana"/>
      <family val="2"/>
    </font>
    <font>
      <sz val="9"/>
      <color rgb="FF00B050"/>
      <name val="Verdana"/>
      <family val="2"/>
    </font>
    <font>
      <i/>
      <sz val="9"/>
      <color theme="1"/>
      <name val="Verdana"/>
      <family val="2"/>
    </font>
    <font>
      <b/>
      <sz val="9"/>
      <color theme="0"/>
      <name val="Verdana"/>
      <family val="2"/>
    </font>
    <font>
      <b/>
      <i/>
      <sz val="9"/>
      <color theme="0"/>
      <name val="Verdana"/>
      <family val="2"/>
    </font>
    <font>
      <b/>
      <sz val="9"/>
      <color theme="1"/>
      <name val="Verdana"/>
      <family val="2"/>
    </font>
    <font>
      <b/>
      <sz val="12"/>
      <name val="Verdana"/>
      <family val="2"/>
    </font>
    <font>
      <i/>
      <sz val="8"/>
      <color theme="1"/>
      <name val="Verdana"/>
      <family val="2"/>
    </font>
    <font>
      <b/>
      <sz val="9"/>
      <color indexed="9"/>
      <name val="Verdana"/>
      <family val="2"/>
    </font>
    <font>
      <sz val="9"/>
      <color indexed="63"/>
      <name val="Verdana"/>
      <family val="2"/>
    </font>
    <font>
      <sz val="9"/>
      <name val="Verdana"/>
      <family val="2"/>
    </font>
    <font>
      <b/>
      <sz val="9"/>
      <name val="Verdana"/>
      <family val="2"/>
    </font>
    <font>
      <b/>
      <i/>
      <sz val="9"/>
      <name val="Verdana"/>
      <family val="2"/>
    </font>
    <font>
      <b/>
      <sz val="9"/>
      <color rgb="FFFF0000"/>
      <name val="Verdana"/>
      <family val="2"/>
    </font>
    <font>
      <b/>
      <i/>
      <sz val="9"/>
      <color rgb="FFFF0000"/>
      <name val="Verdana"/>
      <family val="2"/>
    </font>
    <font>
      <b/>
      <sz val="9"/>
      <color indexed="63"/>
      <name val="Verdana"/>
      <family val="2"/>
    </font>
    <font>
      <b/>
      <i/>
      <sz val="9"/>
      <color indexed="63"/>
      <name val="Verdana"/>
      <family val="2"/>
    </font>
    <font>
      <b/>
      <i/>
      <sz val="9"/>
      <color theme="1"/>
      <name val="Verdana"/>
      <family val="2"/>
    </font>
    <font>
      <sz val="11"/>
      <color indexed="8"/>
      <name val="Calibri"/>
      <family val="2"/>
    </font>
    <font>
      <i/>
      <sz val="9"/>
      <color indexed="63"/>
      <name val="Verdana"/>
      <family val="2"/>
    </font>
    <font>
      <b/>
      <sz val="8"/>
      <color theme="0"/>
      <name val="Calibri"/>
      <family val="2"/>
      <scheme val="minor"/>
    </font>
    <font>
      <b/>
      <sz val="24"/>
      <color rgb="FF002060"/>
      <name val="Calibri"/>
      <family val="2"/>
      <scheme val="minor"/>
    </font>
    <font>
      <b/>
      <sz val="22"/>
      <color theme="0"/>
      <name val="Calibri"/>
      <family val="2"/>
      <scheme val="minor"/>
    </font>
    <font>
      <b/>
      <sz val="22"/>
      <color theme="3" tint="-0.249977111117893"/>
      <name val="Calibri"/>
      <family val="2"/>
      <scheme val="minor"/>
    </font>
    <font>
      <b/>
      <sz val="11"/>
      <color theme="3" tint="-0.249977111117893"/>
      <name val="Calibri"/>
      <family val="2"/>
      <scheme val="minor"/>
    </font>
    <font>
      <b/>
      <i/>
      <sz val="11"/>
      <color theme="1"/>
      <name val="Calibri"/>
      <family val="2"/>
      <scheme val="minor"/>
    </font>
    <font>
      <b/>
      <sz val="14"/>
      <color theme="3" tint="-0.249977111117893"/>
      <name val="Calibri"/>
      <family val="2"/>
      <scheme val="minor"/>
    </font>
    <font>
      <sz val="11"/>
      <color theme="3" tint="-0.249977111117893"/>
      <name val="Calibri"/>
      <family val="2"/>
      <scheme val="minor"/>
    </font>
    <font>
      <b/>
      <i/>
      <sz val="11"/>
      <color theme="3" tint="-0.249977111117893"/>
      <name val="Calibri"/>
      <family val="2"/>
      <scheme val="minor"/>
    </font>
    <font>
      <sz val="11"/>
      <color theme="3" tint="-0.24994659260841701"/>
      <name val="Calibri"/>
      <family val="2"/>
      <scheme val="minor"/>
    </font>
    <font>
      <b/>
      <sz val="11"/>
      <color rgb="FFFF0000"/>
      <name val="Calibri"/>
      <family val="2"/>
      <scheme val="minor"/>
    </font>
    <font>
      <b/>
      <sz val="16"/>
      <color rgb="FFFF0000"/>
      <name val="Calibri"/>
      <family val="2"/>
      <scheme val="minor"/>
    </font>
    <font>
      <b/>
      <sz val="18"/>
      <color theme="0"/>
      <name val="Calibri"/>
      <family val="2"/>
      <scheme val="minor"/>
    </font>
    <font>
      <b/>
      <i/>
      <sz val="11"/>
      <color theme="3" tint="-0.24994659260841701"/>
      <name val="Calibri"/>
      <family val="2"/>
      <scheme val="minor"/>
    </font>
    <font>
      <b/>
      <sz val="11"/>
      <color theme="3" tint="-0.24994659260841701"/>
      <name val="Calibri"/>
      <family val="2"/>
      <scheme val="minor"/>
    </font>
    <font>
      <sz val="9"/>
      <color theme="3" tint="-0.249977111117893"/>
      <name val="Calibri"/>
      <family val="2"/>
      <scheme val="minor"/>
    </font>
    <font>
      <sz val="8"/>
      <name val="Calibri"/>
      <family val="2"/>
      <scheme val="minor"/>
    </font>
    <font>
      <sz val="8"/>
      <color theme="3" tint="-0.24994659260841701"/>
      <name val="Calibri"/>
      <family val="2"/>
      <scheme val="minor"/>
    </font>
    <font>
      <i/>
      <sz val="9"/>
      <color theme="3" tint="-0.249977111117893"/>
      <name val="Calibri"/>
      <family val="2"/>
      <scheme val="minor"/>
    </font>
    <font>
      <i/>
      <sz val="11"/>
      <color theme="1"/>
      <name val="Calibri"/>
      <family val="2"/>
      <scheme val="minor"/>
    </font>
    <font>
      <i/>
      <sz val="9"/>
      <color theme="3" tint="-0.24994659260841701"/>
      <name val="Calibri"/>
      <family val="2"/>
      <scheme val="minor"/>
    </font>
    <font>
      <i/>
      <sz val="11"/>
      <color theme="3" tint="-0.24994659260841701"/>
      <name val="Calibri"/>
      <family val="2"/>
      <scheme val="minor"/>
    </font>
    <font>
      <i/>
      <sz val="8"/>
      <color theme="3" tint="-0.24994659260841701"/>
      <name val="Calibri"/>
      <family val="2"/>
      <scheme val="minor"/>
    </font>
    <font>
      <i/>
      <sz val="11"/>
      <color theme="3" tint="-0.249977111117893"/>
      <name val="Calibri"/>
      <family val="2"/>
      <scheme val="minor"/>
    </font>
    <font>
      <b/>
      <sz val="11"/>
      <name val="Calibri"/>
      <family val="2"/>
      <scheme val="minor"/>
    </font>
    <font>
      <b/>
      <sz val="9"/>
      <color theme="3" tint="-0.249977111117893"/>
      <name val="Calibri"/>
      <family val="2"/>
      <scheme val="minor"/>
    </font>
    <font>
      <b/>
      <sz val="9"/>
      <color theme="1"/>
      <name val="Calibri"/>
      <family val="2"/>
      <scheme val="minor"/>
    </font>
    <font>
      <b/>
      <sz val="9"/>
      <name val="Calibri"/>
      <family val="2"/>
      <scheme val="minor"/>
    </font>
    <font>
      <b/>
      <sz val="9"/>
      <color theme="3" tint="-0.24994659260841701"/>
      <name val="Calibri"/>
      <family val="2"/>
      <scheme val="minor"/>
    </font>
    <font>
      <b/>
      <i/>
      <sz val="9"/>
      <color rgb="FFFF0000"/>
      <name val="Calibri"/>
      <family val="2"/>
      <scheme val="minor"/>
    </font>
    <font>
      <i/>
      <sz val="9"/>
      <color theme="1"/>
      <name val="Calibri"/>
      <family val="2"/>
      <scheme val="minor"/>
    </font>
    <font>
      <b/>
      <sz val="12"/>
      <color theme="3" tint="-0.249977111117893"/>
      <name val="Calibri"/>
      <family val="2"/>
      <scheme val="minor"/>
    </font>
    <font>
      <i/>
      <sz val="10"/>
      <color theme="3" tint="-0.249977111117893"/>
      <name val="Calibri"/>
      <family val="2"/>
      <scheme val="minor"/>
    </font>
    <font>
      <sz val="9"/>
      <color rgb="FFFF0000"/>
      <name val="Verdana"/>
      <family val="2"/>
    </font>
    <font>
      <sz val="11"/>
      <name val="Calibri"/>
      <family val="2"/>
      <scheme val="minor"/>
    </font>
    <font>
      <b/>
      <sz val="12"/>
      <color theme="1"/>
      <name val="Wingdings"/>
      <charset val="2"/>
    </font>
    <font>
      <b/>
      <u/>
      <sz val="9"/>
      <color rgb="FFFF0000"/>
      <name val="Verdana"/>
      <family val="2"/>
    </font>
    <font>
      <u/>
      <sz val="9"/>
      <color theme="1"/>
      <name val="Verdana"/>
      <family val="2"/>
    </font>
    <font>
      <b/>
      <u/>
      <sz val="9"/>
      <color theme="1"/>
      <name val="Verdana"/>
      <family val="2"/>
    </font>
    <font>
      <i/>
      <sz val="9"/>
      <name val="Calibri"/>
      <family val="2"/>
      <scheme val="minor"/>
    </font>
    <font>
      <b/>
      <sz val="8"/>
      <name val="Calibri"/>
      <family val="2"/>
      <scheme val="minor"/>
    </font>
    <font>
      <b/>
      <sz val="8"/>
      <color theme="3" tint="-0.24994659260841701"/>
      <name val="Calibri"/>
      <family val="2"/>
      <scheme val="minor"/>
    </font>
    <font>
      <sz val="9"/>
      <name val="Calibri"/>
      <family val="2"/>
      <scheme val="minor"/>
    </font>
    <font>
      <i/>
      <sz val="9"/>
      <name val="Verdana"/>
      <family val="2"/>
    </font>
    <font>
      <sz val="8"/>
      <color theme="1"/>
      <name val="Verdana"/>
      <family val="2"/>
    </font>
    <font>
      <b/>
      <i/>
      <sz val="10"/>
      <name val="Verdana"/>
      <family val="2"/>
    </font>
  </fonts>
  <fills count="17">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83564"/>
        <bgColor indexed="64"/>
      </patternFill>
    </fill>
    <fill>
      <patternFill patternType="solid">
        <fgColor rgb="FF00B0F0"/>
        <bgColor indexed="64"/>
      </patternFill>
    </fill>
    <fill>
      <patternFill patternType="solid">
        <fgColor rgb="FF003366"/>
        <bgColor indexed="64"/>
      </patternFill>
    </fill>
    <fill>
      <patternFill patternType="solid">
        <fgColor rgb="FF99CC00"/>
        <bgColor indexed="64"/>
      </patternFill>
    </fill>
    <fill>
      <patternFill patternType="solid">
        <fgColor rgb="FF0080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32">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rgb="FFA6A6A6"/>
      </left>
      <right style="thin">
        <color rgb="FFA6A6A6"/>
      </right>
      <top style="thin">
        <color rgb="FFA6A6A6"/>
      </top>
      <bottom style="thin">
        <color rgb="FFA6A6A6"/>
      </bottom>
      <diagonal/>
    </border>
    <border>
      <left style="hair">
        <color theme="3"/>
      </left>
      <right/>
      <top/>
      <bottom style="hair">
        <color theme="3"/>
      </bottom>
      <diagonal/>
    </border>
    <border>
      <left/>
      <right/>
      <top/>
      <bottom style="hair">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diagonal/>
    </border>
    <border>
      <left/>
      <right style="hair">
        <color theme="3"/>
      </right>
      <top style="hair">
        <color theme="3"/>
      </top>
      <bottom/>
      <diagonal/>
    </border>
    <border>
      <left style="hair">
        <color theme="3"/>
      </left>
      <right style="hair">
        <color theme="3"/>
      </right>
      <top style="hair">
        <color theme="3"/>
      </top>
      <bottom/>
      <diagonal/>
    </border>
    <border>
      <left style="hair">
        <color theme="3"/>
      </left>
      <right/>
      <top/>
      <bottom/>
      <diagonal/>
    </border>
    <border>
      <left/>
      <right style="hair">
        <color theme="3"/>
      </right>
      <top/>
      <bottom/>
      <diagonal/>
    </border>
    <border>
      <left style="hair">
        <color theme="3"/>
      </left>
      <right style="hair">
        <color theme="3"/>
      </right>
      <top/>
      <bottom/>
      <diagonal/>
    </border>
    <border>
      <left/>
      <right style="hair">
        <color theme="3"/>
      </right>
      <top/>
      <bottom style="hair">
        <color theme="3"/>
      </bottom>
      <diagonal/>
    </border>
    <border>
      <left style="hair">
        <color theme="3"/>
      </left>
      <right style="hair">
        <color theme="3"/>
      </right>
      <top/>
      <bottom style="hair">
        <color theme="3"/>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xf numFmtId="0" fontId="30" fillId="0" borderId="0"/>
  </cellStyleXfs>
  <cellXfs count="330">
    <xf numFmtId="0" fontId="0" fillId="0" borderId="0" xfId="0"/>
    <xf numFmtId="0" fontId="12" fillId="0" borderId="0" xfId="4"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14" fillId="0" borderId="0" xfId="0" applyFont="1" applyAlignment="1">
      <alignment vertical="center"/>
    </xf>
    <xf numFmtId="0" fontId="15" fillId="5" borderId="9" xfId="0" applyFont="1" applyFill="1" applyBorder="1" applyAlignment="1">
      <alignment horizontal="center" vertical="center" wrapText="1"/>
    </xf>
    <xf numFmtId="0" fontId="17" fillId="0" borderId="0" xfId="0" applyFont="1" applyAlignment="1">
      <alignment horizontal="center" vertical="center"/>
    </xf>
    <xf numFmtId="0" fontId="13" fillId="0" borderId="0" xfId="0" applyFont="1" applyAlignment="1">
      <alignment horizontal="center" vertical="center"/>
    </xf>
    <xf numFmtId="0" fontId="18" fillId="6" borderId="0" xfId="0" applyFont="1" applyFill="1" applyAlignment="1">
      <alignment horizontal="center" vertical="center"/>
    </xf>
    <xf numFmtId="0" fontId="19" fillId="0" borderId="0" xfId="0" applyFont="1" applyAlignment="1">
      <alignment horizontal="center" vertical="center"/>
    </xf>
    <xf numFmtId="0" fontId="20" fillId="7" borderId="9" xfId="0" applyFont="1" applyFill="1" applyBorder="1" applyAlignment="1">
      <alignment horizontal="left" vertical="center" wrapText="1"/>
    </xf>
    <xf numFmtId="164" fontId="15" fillId="5" borderId="0" xfId="0" applyNumberFormat="1" applyFont="1" applyFill="1" applyAlignment="1">
      <alignment vertical="center"/>
    </xf>
    <xf numFmtId="164" fontId="16" fillId="5" borderId="0" xfId="0" applyNumberFormat="1" applyFont="1" applyFill="1" applyAlignment="1">
      <alignment vertical="center"/>
    </xf>
    <xf numFmtId="0" fontId="15" fillId="8" borderId="9" xfId="0" applyFont="1" applyFill="1" applyBorder="1" applyAlignment="1">
      <alignment horizontal="left" vertical="center" wrapText="1"/>
    </xf>
    <xf numFmtId="164" fontId="15" fillId="8" borderId="0" xfId="0" applyNumberFormat="1" applyFont="1" applyFill="1" applyAlignment="1">
      <alignment vertical="center"/>
    </xf>
    <xf numFmtId="164" fontId="16" fillId="8" borderId="0" xfId="0" applyNumberFormat="1" applyFont="1" applyFill="1" applyAlignment="1">
      <alignment vertical="center"/>
    </xf>
    <xf numFmtId="0" fontId="21" fillId="0" borderId="9" xfId="0" applyFont="1" applyBorder="1" applyAlignment="1">
      <alignment horizontal="left" vertical="center" wrapText="1"/>
    </xf>
    <xf numFmtId="164" fontId="6" fillId="6" borderId="0" xfId="0" applyNumberFormat="1" applyFont="1" applyFill="1" applyAlignment="1">
      <alignment vertical="center"/>
    </xf>
    <xf numFmtId="164" fontId="14" fillId="6" borderId="0" xfId="0" applyNumberFormat="1" applyFont="1" applyFill="1" applyAlignment="1">
      <alignment vertical="center"/>
    </xf>
    <xf numFmtId="0" fontId="15" fillId="8" borderId="9" xfId="0" quotePrefix="1" applyFont="1" applyFill="1" applyBorder="1" applyAlignment="1">
      <alignment horizontal="left" vertical="center" wrapText="1"/>
    </xf>
    <xf numFmtId="0" fontId="22" fillId="0" borderId="9" xfId="0" applyFont="1" applyBorder="1" applyAlignment="1">
      <alignment horizontal="left" vertical="center" wrapText="1"/>
    </xf>
    <xf numFmtId="0" fontId="20" fillId="9" borderId="9" xfId="0" applyFont="1" applyFill="1" applyBorder="1" applyAlignment="1">
      <alignment horizontal="left" vertical="center" wrapText="1"/>
    </xf>
    <xf numFmtId="0" fontId="20" fillId="8" borderId="9" xfId="0" applyFont="1" applyFill="1" applyBorder="1" applyAlignment="1">
      <alignment horizontal="left" vertical="center" wrapText="1"/>
    </xf>
    <xf numFmtId="164" fontId="23" fillId="6" borderId="0" xfId="0" applyNumberFormat="1" applyFont="1" applyFill="1" applyAlignment="1">
      <alignment vertical="center"/>
    </xf>
    <xf numFmtId="164" fontId="24" fillId="6" borderId="0" xfId="0" applyNumberFormat="1" applyFont="1" applyFill="1" applyAlignment="1">
      <alignment vertical="center"/>
    </xf>
    <xf numFmtId="0" fontId="25" fillId="0" borderId="9" xfId="0" applyFont="1" applyBorder="1" applyAlignment="1">
      <alignment horizontal="left" vertical="center" wrapText="1"/>
    </xf>
    <xf numFmtId="0" fontId="27" fillId="0" borderId="9" xfId="0" applyFont="1" applyBorder="1" applyAlignment="1">
      <alignment horizontal="left" vertical="center" wrapText="1"/>
    </xf>
    <xf numFmtId="0" fontId="27" fillId="6" borderId="0" xfId="0" applyFont="1" applyFill="1" applyAlignment="1">
      <alignment horizontal="center" vertical="center" wrapText="1"/>
    </xf>
    <xf numFmtId="0" fontId="28" fillId="6" borderId="0" xfId="0" applyFont="1" applyFill="1" applyAlignment="1">
      <alignment horizontal="center" vertical="center" wrapText="1"/>
    </xf>
    <xf numFmtId="0" fontId="17" fillId="6" borderId="0" xfId="0" applyFont="1" applyFill="1" applyAlignment="1">
      <alignment horizontal="center" vertical="center" wrapText="1"/>
    </xf>
    <xf numFmtId="165" fontId="15" fillId="8" borderId="0" xfId="0" applyNumberFormat="1" applyFont="1" applyFill="1" applyAlignment="1">
      <alignment vertical="center"/>
    </xf>
    <xf numFmtId="165" fontId="16" fillId="8" borderId="0" xfId="0" applyNumberFormat="1" applyFont="1" applyFill="1" applyAlignment="1">
      <alignment vertical="center"/>
    </xf>
    <xf numFmtId="165" fontId="15" fillId="5" borderId="0" xfId="0" applyNumberFormat="1" applyFont="1" applyFill="1" applyAlignment="1">
      <alignment vertical="center"/>
    </xf>
    <xf numFmtId="165" fontId="16" fillId="5" borderId="0" xfId="0" applyNumberFormat="1" applyFont="1" applyFill="1" applyAlignment="1">
      <alignment vertical="center"/>
    </xf>
    <xf numFmtId="0" fontId="25" fillId="0" borderId="0" xfId="0" applyFont="1" applyAlignment="1">
      <alignment vertical="center"/>
    </xf>
    <xf numFmtId="165" fontId="25" fillId="6" borderId="9" xfId="5" applyNumberFormat="1" applyFont="1" applyFill="1" applyBorder="1" applyAlignment="1">
      <alignment horizontal="right" vertical="center" wrapText="1"/>
    </xf>
    <xf numFmtId="165" fontId="26" fillId="6" borderId="9" xfId="5" applyNumberFormat="1" applyFont="1" applyFill="1" applyBorder="1" applyAlignment="1">
      <alignment horizontal="right" vertical="center" wrapText="1"/>
    </xf>
    <xf numFmtId="164" fontId="25" fillId="6" borderId="9" xfId="5" applyNumberFormat="1" applyFont="1" applyFill="1" applyBorder="1" applyAlignment="1">
      <alignment horizontal="right" vertical="center" wrapText="1"/>
    </xf>
    <xf numFmtId="164" fontId="26" fillId="6" borderId="9" xfId="5" applyNumberFormat="1" applyFont="1" applyFill="1" applyBorder="1" applyAlignment="1">
      <alignment horizontal="right" vertical="center" wrapText="1"/>
    </xf>
    <xf numFmtId="164" fontId="25" fillId="6" borderId="9" xfId="0" applyNumberFormat="1" applyFont="1" applyFill="1" applyBorder="1" applyAlignment="1">
      <alignment horizontal="right" vertical="center" wrapText="1"/>
    </xf>
    <xf numFmtId="164" fontId="26" fillId="6" borderId="9" xfId="0" applyNumberFormat="1" applyFont="1" applyFill="1" applyBorder="1" applyAlignment="1">
      <alignment horizontal="right" vertical="center" wrapText="1"/>
    </xf>
    <xf numFmtId="164" fontId="21" fillId="6" borderId="9" xfId="0" applyNumberFormat="1" applyFont="1" applyFill="1" applyBorder="1" applyAlignment="1">
      <alignment horizontal="right" vertical="center" wrapText="1"/>
    </xf>
    <xf numFmtId="164" fontId="31" fillId="6" borderId="9" xfId="0" applyNumberFormat="1" applyFont="1" applyFill="1" applyBorder="1" applyAlignment="1">
      <alignment horizontal="right" vertical="center" wrapText="1"/>
    </xf>
    <xf numFmtId="4" fontId="21" fillId="6" borderId="9" xfId="0" applyNumberFormat="1" applyFont="1" applyFill="1" applyBorder="1" applyAlignment="1">
      <alignment horizontal="right" vertical="center" wrapText="1"/>
    </xf>
    <xf numFmtId="4" fontId="31" fillId="6" borderId="9" xfId="0" applyNumberFormat="1" applyFont="1" applyFill="1" applyBorder="1" applyAlignment="1">
      <alignment horizontal="right" vertical="center" wrapText="1"/>
    </xf>
    <xf numFmtId="0" fontId="23" fillId="10" borderId="9" xfId="0" applyFont="1" applyFill="1" applyBorder="1" applyAlignment="1">
      <alignment horizontal="left" vertical="center" wrapText="1"/>
    </xf>
    <xf numFmtId="164" fontId="23" fillId="6" borderId="9" xfId="0" applyNumberFormat="1" applyFont="1" applyFill="1" applyBorder="1" applyAlignment="1">
      <alignment horizontal="right" vertical="center" wrapText="1"/>
    </xf>
    <xf numFmtId="164" fontId="24" fillId="6" borderId="9" xfId="0" applyNumberFormat="1" applyFont="1" applyFill="1" applyBorder="1" applyAlignment="1">
      <alignment horizontal="right" vertical="center" wrapText="1"/>
    </xf>
    <xf numFmtId="0" fontId="23" fillId="11" borderId="9" xfId="0" applyFont="1" applyFill="1" applyBorder="1" applyAlignment="1">
      <alignment horizontal="left" vertical="center" wrapText="1"/>
    </xf>
    <xf numFmtId="0" fontId="17" fillId="12" borderId="0" xfId="0" applyFont="1" applyFill="1" applyAlignment="1">
      <alignment horizontal="center" vertical="center"/>
    </xf>
    <xf numFmtId="0" fontId="6" fillId="12" borderId="0" xfId="0" applyFont="1" applyFill="1" applyAlignment="1">
      <alignment vertical="center"/>
    </xf>
    <xf numFmtId="0" fontId="14" fillId="12" borderId="0" xfId="0" applyFont="1" applyFill="1" applyAlignment="1">
      <alignment vertical="center"/>
    </xf>
    <xf numFmtId="0" fontId="0" fillId="0" borderId="0" xfId="0" applyAlignment="1" applyProtection="1">
      <alignment vertical="center"/>
      <protection locked="0"/>
    </xf>
    <xf numFmtId="0" fontId="11" fillId="0" borderId="0" xfId="4" applyAlignment="1">
      <alignment horizontal="center" vertical="center"/>
    </xf>
    <xf numFmtId="0" fontId="10" fillId="0" borderId="0" xfId="0" applyFont="1" applyAlignment="1" applyProtection="1">
      <alignment vertical="center"/>
      <protection locked="0"/>
    </xf>
    <xf numFmtId="0" fontId="0" fillId="0" borderId="0" xfId="0" applyAlignment="1" applyProtection="1">
      <alignment horizontal="right" vertical="center"/>
      <protection locked="0"/>
    </xf>
    <xf numFmtId="0" fontId="35" fillId="0" borderId="0" xfId="0" applyFont="1" applyAlignment="1" applyProtection="1">
      <alignment horizontal="center" vertical="center"/>
      <protection locked="0"/>
    </xf>
    <xf numFmtId="0" fontId="36" fillId="0" borderId="0" xfId="0" applyFont="1" applyAlignment="1" applyProtection="1">
      <alignment horizontal="center" vertical="center" wrapText="1"/>
      <protection locked="0"/>
    </xf>
    <xf numFmtId="0" fontId="9" fillId="14" borderId="23" xfId="0" applyFont="1" applyFill="1" applyBorder="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right" vertical="center"/>
      <protection locked="0"/>
    </xf>
    <xf numFmtId="0" fontId="39" fillId="0" borderId="0" xfId="0" applyFont="1" applyAlignment="1" applyProtection="1">
      <alignment vertical="center"/>
      <protection locked="0"/>
    </xf>
    <xf numFmtId="165" fontId="36" fillId="0" borderId="0" xfId="2" applyNumberFormat="1"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165" fontId="9" fillId="14" borderId="23" xfId="2" applyNumberFormat="1"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9" fillId="0" borderId="0" xfId="0" applyFont="1" applyAlignment="1" applyProtection="1">
      <alignment horizontal="right" vertical="center"/>
      <protection locked="0"/>
    </xf>
    <xf numFmtId="164" fontId="9" fillId="0" borderId="0" xfId="0" applyNumberFormat="1" applyFont="1" applyAlignment="1" applyProtection="1">
      <alignment horizontal="center" vertical="center"/>
      <protection locked="0"/>
    </xf>
    <xf numFmtId="3" fontId="41" fillId="0" borderId="0" xfId="0" applyNumberFormat="1" applyFont="1" applyAlignment="1" applyProtection="1">
      <alignment horizontal="center" vertical="center"/>
      <protection locked="0"/>
    </xf>
    <xf numFmtId="0" fontId="41" fillId="0" borderId="0" xfId="0" applyFont="1" applyAlignment="1" applyProtection="1">
      <alignment vertical="center"/>
      <protection locked="0"/>
    </xf>
    <xf numFmtId="164" fontId="10" fillId="0" borderId="0" xfId="2" applyNumberFormat="1" applyFont="1" applyBorder="1" applyAlignment="1" applyProtection="1">
      <alignment horizontal="center" vertical="center"/>
    </xf>
    <xf numFmtId="0" fontId="41"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39" fillId="0" borderId="24" xfId="0" applyFont="1" applyBorder="1" applyAlignment="1" applyProtection="1">
      <alignment vertical="center"/>
      <protection locked="0"/>
    </xf>
    <xf numFmtId="0" fontId="47" fillId="0" borderId="25" xfId="0" applyFont="1" applyBorder="1" applyAlignment="1" applyProtection="1">
      <alignment vertical="center" wrapText="1"/>
      <protection locked="0"/>
    </xf>
    <xf numFmtId="164" fontId="41" fillId="0" borderId="26" xfId="2" applyNumberFormat="1" applyFont="1" applyBorder="1" applyAlignment="1" applyProtection="1">
      <alignment horizontal="right" vertical="center"/>
      <protection locked="0"/>
    </xf>
    <xf numFmtId="165" fontId="41" fillId="0" borderId="26" xfId="2" applyNumberFormat="1" applyFont="1" applyBorder="1" applyAlignment="1" applyProtection="1">
      <alignment horizontal="right" vertical="center"/>
      <protection locked="0"/>
    </xf>
    <xf numFmtId="9" fontId="48" fillId="0" borderId="0" xfId="3" applyFont="1" applyFill="1" applyBorder="1" applyAlignment="1" applyProtection="1">
      <alignment horizontal="right" vertical="center"/>
      <protection locked="0"/>
    </xf>
    <xf numFmtId="9" fontId="49" fillId="0" borderId="0" xfId="3" applyFont="1" applyFill="1" applyBorder="1" applyAlignment="1" applyProtection="1">
      <alignment horizontal="right" vertical="center"/>
      <protection locked="0"/>
    </xf>
    <xf numFmtId="9" fontId="49" fillId="0" borderId="0" xfId="3" applyFont="1" applyFill="1" applyBorder="1" applyAlignment="1" applyProtection="1">
      <alignment horizontal="left" vertical="center"/>
      <protection locked="0"/>
    </xf>
    <xf numFmtId="0" fontId="39" fillId="0" borderId="27" xfId="0" applyFont="1" applyBorder="1" applyAlignment="1" applyProtection="1">
      <alignment vertical="center" wrapText="1"/>
      <protection locked="0"/>
    </xf>
    <xf numFmtId="0" fontId="50" fillId="0" borderId="28" xfId="0" applyFont="1" applyBorder="1" applyAlignment="1" applyProtection="1">
      <alignment horizontal="right" vertical="center"/>
      <protection locked="0"/>
    </xf>
    <xf numFmtId="0" fontId="51" fillId="0" borderId="0" xfId="0" applyFont="1" applyAlignment="1" applyProtection="1">
      <alignment vertical="center"/>
      <protection locked="0"/>
    </xf>
    <xf numFmtId="164" fontId="52" fillId="0" borderId="29" xfId="2" applyNumberFormat="1" applyFont="1" applyBorder="1" applyAlignment="1" applyProtection="1">
      <alignment horizontal="right" vertical="center"/>
      <protection locked="0"/>
    </xf>
    <xf numFmtId="0" fontId="53" fillId="0" borderId="0" xfId="0" applyFont="1" applyAlignment="1" applyProtection="1">
      <alignment vertical="center"/>
      <protection locked="0"/>
    </xf>
    <xf numFmtId="165" fontId="52" fillId="0" borderId="29" xfId="2" applyNumberFormat="1" applyFont="1" applyBorder="1" applyAlignment="1" applyProtection="1">
      <alignment horizontal="right" vertical="center"/>
      <protection locked="0"/>
    </xf>
    <xf numFmtId="9" fontId="54" fillId="0" borderId="0" xfId="3" applyFont="1" applyFill="1" applyBorder="1" applyAlignment="1" applyProtection="1">
      <alignment horizontal="left" vertical="center"/>
      <protection locked="0"/>
    </xf>
    <xf numFmtId="164" fontId="51" fillId="0" borderId="29" xfId="3" applyNumberFormat="1" applyFont="1" applyBorder="1" applyAlignment="1" applyProtection="1">
      <alignment horizontal="right" vertical="center"/>
      <protection locked="0"/>
    </xf>
    <xf numFmtId="0" fontId="39" fillId="0" borderId="27" xfId="0" applyFont="1" applyBorder="1" applyAlignment="1" applyProtection="1">
      <alignment horizontal="left" vertical="center"/>
      <protection locked="0"/>
    </xf>
    <xf numFmtId="0" fontId="39" fillId="0" borderId="27" xfId="0" applyFont="1" applyBorder="1" applyAlignment="1" applyProtection="1">
      <alignment vertical="center"/>
      <protection locked="0"/>
    </xf>
    <xf numFmtId="0" fontId="47" fillId="0" borderId="28" xfId="0" applyFont="1" applyBorder="1" applyAlignment="1" applyProtection="1">
      <alignment vertical="center" wrapText="1"/>
      <protection locked="0"/>
    </xf>
    <xf numFmtId="164" fontId="41" fillId="0" borderId="29" xfId="2" applyNumberFormat="1" applyFont="1" applyBorder="1" applyAlignment="1" applyProtection="1">
      <alignment horizontal="right" vertical="center"/>
      <protection locked="0"/>
    </xf>
    <xf numFmtId="165" fontId="41" fillId="0" borderId="29" xfId="2" applyNumberFormat="1" applyFont="1" applyBorder="1" applyAlignment="1" applyProtection="1">
      <alignment horizontal="right" vertical="center"/>
      <protection locked="0"/>
    </xf>
    <xf numFmtId="0" fontId="51" fillId="0" borderId="10" xfId="0" applyFont="1" applyBorder="1" applyAlignment="1" applyProtection="1">
      <alignment vertical="center"/>
      <protection locked="0"/>
    </xf>
    <xf numFmtId="0" fontId="55" fillId="0" borderId="30" xfId="0" applyFont="1" applyBorder="1" applyAlignment="1" applyProtection="1">
      <alignment horizontal="right" vertical="center"/>
      <protection locked="0"/>
    </xf>
    <xf numFmtId="164" fontId="53" fillId="0" borderId="31" xfId="2" applyNumberFormat="1" applyFont="1" applyBorder="1" applyAlignment="1" applyProtection="1">
      <alignment horizontal="right" vertical="center"/>
      <protection locked="0"/>
    </xf>
    <xf numFmtId="164" fontId="51" fillId="0" borderId="31" xfId="3" applyNumberFormat="1" applyFont="1" applyBorder="1" applyAlignment="1" applyProtection="1">
      <alignment horizontal="right" vertical="center"/>
      <protection locked="0"/>
    </xf>
    <xf numFmtId="0" fontId="39"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166" fontId="41" fillId="0" borderId="0" xfId="0" applyNumberFormat="1" applyFont="1" applyAlignment="1" applyProtection="1">
      <alignment vertical="center"/>
      <protection locked="0"/>
    </xf>
    <xf numFmtId="165" fontId="41" fillId="0" borderId="0" xfId="2" applyNumberFormat="1" applyFont="1" applyBorder="1" applyAlignment="1" applyProtection="1">
      <alignment vertical="center"/>
      <protection locked="0"/>
    </xf>
    <xf numFmtId="164" fontId="0" fillId="0" borderId="0" xfId="0" applyNumberFormat="1" applyAlignment="1" applyProtection="1">
      <alignment horizontal="right" vertical="center"/>
      <protection locked="0"/>
    </xf>
    <xf numFmtId="164" fontId="10" fillId="0" borderId="0" xfId="2" applyNumberFormat="1" applyFont="1" applyBorder="1" applyAlignment="1" applyProtection="1">
      <alignment horizontal="center" vertical="center"/>
      <protection locked="0"/>
    </xf>
    <xf numFmtId="0" fontId="36" fillId="0" borderId="0" xfId="0" applyFont="1" applyAlignment="1" applyProtection="1">
      <alignment horizontal="right" vertical="center"/>
      <protection locked="0"/>
    </xf>
    <xf numFmtId="164" fontId="56" fillId="0" borderId="23" xfId="3" applyNumberFormat="1" applyFont="1" applyBorder="1" applyAlignment="1" applyProtection="1">
      <alignment horizontal="right" vertical="center"/>
      <protection locked="0"/>
    </xf>
    <xf numFmtId="165" fontId="56" fillId="0" borderId="23" xfId="3" applyNumberFormat="1" applyFont="1" applyBorder="1" applyAlignment="1" applyProtection="1">
      <alignment horizontal="right" vertical="center"/>
      <protection locked="0"/>
    </xf>
    <xf numFmtId="0" fontId="57" fillId="0" borderId="0" xfId="0" applyFont="1" applyAlignment="1" applyProtection="1">
      <alignment horizontal="right" vertical="center"/>
      <protection locked="0"/>
    </xf>
    <xf numFmtId="0" fontId="58" fillId="0" borderId="0" xfId="0" applyFont="1" applyAlignment="1" applyProtection="1">
      <alignment vertical="center"/>
      <protection locked="0"/>
    </xf>
    <xf numFmtId="164" fontId="59" fillId="0" borderId="23" xfId="3" applyNumberFormat="1" applyFont="1" applyBorder="1" applyAlignment="1" applyProtection="1">
      <alignment horizontal="right" vertical="center"/>
      <protection locked="0"/>
    </xf>
    <xf numFmtId="0" fontId="60" fillId="0" borderId="0" xfId="0" applyFont="1" applyAlignment="1" applyProtection="1">
      <alignment vertical="center"/>
      <protection locked="0"/>
    </xf>
    <xf numFmtId="165" fontId="59" fillId="0" borderId="23" xfId="3" applyNumberFormat="1" applyFont="1" applyBorder="1" applyAlignment="1" applyProtection="1">
      <alignment horizontal="right" vertical="center"/>
      <protection locked="0"/>
    </xf>
    <xf numFmtId="9" fontId="58" fillId="0" borderId="23" xfId="3" applyFont="1" applyBorder="1" applyAlignment="1" applyProtection="1">
      <alignment horizontal="right" vertical="center"/>
      <protection locked="0"/>
    </xf>
    <xf numFmtId="164" fontId="58" fillId="0" borderId="23" xfId="3" applyNumberFormat="1" applyFont="1" applyBorder="1" applyAlignment="1" applyProtection="1">
      <alignment horizontal="right" vertical="center"/>
      <protection locked="0"/>
    </xf>
    <xf numFmtId="0" fontId="61" fillId="0" borderId="0" xfId="0" applyFont="1" applyAlignment="1" applyProtection="1">
      <alignment horizontal="right" vertical="center"/>
      <protection locked="0"/>
    </xf>
    <xf numFmtId="0" fontId="62" fillId="0" borderId="0" xfId="0" applyFont="1" applyAlignment="1" applyProtection="1">
      <alignment vertical="center"/>
      <protection locked="0"/>
    </xf>
    <xf numFmtId="164" fontId="62" fillId="0" borderId="0" xfId="0" applyNumberFormat="1" applyFont="1" applyAlignment="1" applyProtection="1">
      <alignment vertical="center"/>
      <protection locked="0"/>
    </xf>
    <xf numFmtId="0" fontId="63" fillId="0" borderId="0" xfId="0" applyFont="1" applyAlignment="1" applyProtection="1">
      <alignment horizontal="right" vertical="center"/>
      <protection locked="0"/>
    </xf>
    <xf numFmtId="0" fontId="44" fillId="0" borderId="0" xfId="0" applyFont="1" applyAlignment="1" applyProtection="1">
      <alignment horizontal="center" vertical="center"/>
      <protection locked="0"/>
    </xf>
    <xf numFmtId="0" fontId="44" fillId="0" borderId="0" xfId="0" applyFont="1" applyAlignment="1" applyProtection="1">
      <alignment horizontal="right" vertical="center"/>
      <protection locked="0"/>
    </xf>
    <xf numFmtId="0" fontId="64" fillId="0" borderId="25" xfId="0" applyFont="1" applyBorder="1" applyAlignment="1" applyProtection="1">
      <alignment horizontal="right" vertical="center"/>
      <protection locked="0"/>
    </xf>
    <xf numFmtId="4" fontId="46" fillId="0" borderId="26" xfId="0" applyNumberFormat="1" applyFont="1" applyBorder="1" applyAlignment="1" applyProtection="1">
      <alignment horizontal="center" vertical="center"/>
      <protection locked="0"/>
    </xf>
    <xf numFmtId="167" fontId="41" fillId="0" borderId="0" xfId="0" applyNumberFormat="1" applyFont="1" applyAlignment="1" applyProtection="1">
      <alignment vertical="center"/>
      <protection locked="0"/>
    </xf>
    <xf numFmtId="9" fontId="54" fillId="0" borderId="0" xfId="3" applyFont="1" applyBorder="1" applyAlignment="1" applyProtection="1">
      <alignment horizontal="center" vertical="center"/>
      <protection locked="0"/>
    </xf>
    <xf numFmtId="164" fontId="41" fillId="0" borderId="29" xfId="2" applyNumberFormat="1" applyFont="1" applyFill="1" applyBorder="1" applyAlignment="1" applyProtection="1">
      <alignment horizontal="right" vertical="center"/>
      <protection locked="0"/>
    </xf>
    <xf numFmtId="0" fontId="49" fillId="0" borderId="0" xfId="0" applyFont="1" applyAlignment="1" applyProtection="1">
      <alignment horizontal="left" vertical="center"/>
      <protection locked="0"/>
    </xf>
    <xf numFmtId="164" fontId="9" fillId="14" borderId="23" xfId="2" applyNumberFormat="1" applyFont="1" applyFill="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47" fillId="0" borderId="30" xfId="0" applyFont="1" applyBorder="1" applyAlignment="1" applyProtection="1">
      <alignment vertical="center" wrapText="1"/>
      <protection locked="0"/>
    </xf>
    <xf numFmtId="168" fontId="41" fillId="0" borderId="31" xfId="1" applyNumberFormat="1" applyFont="1" applyBorder="1" applyAlignment="1" applyProtection="1">
      <alignment horizontal="center" vertical="center"/>
      <protection locked="0"/>
    </xf>
    <xf numFmtId="3" fontId="41" fillId="0" borderId="0" xfId="0" applyNumberFormat="1" applyFont="1" applyAlignment="1" applyProtection="1">
      <alignment vertical="center"/>
      <protection locked="0"/>
    </xf>
    <xf numFmtId="0" fontId="36" fillId="0" borderId="0" xfId="0" applyFont="1" applyAlignment="1" applyProtection="1">
      <alignment horizontal="center" vertical="center" textRotation="90"/>
      <protection locked="0"/>
    </xf>
    <xf numFmtId="0" fontId="49" fillId="0" borderId="0" xfId="0" applyFont="1" applyAlignment="1" applyProtection="1">
      <alignment horizontal="right" vertical="center"/>
      <protection locked="0"/>
    </xf>
    <xf numFmtId="0" fontId="6" fillId="0" borderId="0" xfId="0" applyFont="1" applyAlignment="1">
      <alignment horizontal="center" vertical="center"/>
    </xf>
    <xf numFmtId="0" fontId="36" fillId="0" borderId="0" xfId="0" applyFont="1" applyAlignment="1" applyProtection="1">
      <alignment vertical="center"/>
      <protection locked="0"/>
    </xf>
    <xf numFmtId="0" fontId="0" fillId="0" borderId="0" xfId="0" applyAlignment="1" applyProtection="1">
      <alignment horizontal="center" vertical="center"/>
      <protection locked="0"/>
    </xf>
    <xf numFmtId="0" fontId="40" fillId="0" borderId="0" xfId="0" applyFont="1" applyAlignment="1" applyProtection="1">
      <alignment horizontal="right" vertical="center"/>
      <protection locked="0"/>
    </xf>
    <xf numFmtId="0" fontId="23" fillId="0" borderId="9" xfId="0" applyFont="1" applyFill="1" applyBorder="1" applyAlignment="1">
      <alignment horizontal="left" vertical="center" wrapText="1"/>
    </xf>
    <xf numFmtId="164" fontId="66" fillId="0" borderId="23" xfId="3" applyNumberFormat="1" applyFont="1" applyBorder="1" applyAlignment="1" applyProtection="1">
      <alignment horizontal="right" vertical="center"/>
      <protection locked="0"/>
    </xf>
    <xf numFmtId="164" fontId="17" fillId="6" borderId="0" xfId="0" applyNumberFormat="1" applyFont="1" applyFill="1" applyAlignment="1">
      <alignment horizontal="center" vertical="center" wrapText="1"/>
    </xf>
    <xf numFmtId="3" fontId="17" fillId="6" borderId="0" xfId="0" applyNumberFormat="1" applyFont="1" applyFill="1" applyAlignment="1">
      <alignment vertical="center"/>
    </xf>
    <xf numFmtId="3" fontId="29" fillId="6" borderId="0" xfId="0" applyNumberFormat="1" applyFont="1" applyFill="1" applyAlignment="1">
      <alignment vertical="center"/>
    </xf>
    <xf numFmtId="0" fontId="0" fillId="0" borderId="0" xfId="0" applyAlignment="1">
      <alignment vertical="center"/>
    </xf>
    <xf numFmtId="0" fontId="32" fillId="0" borderId="0" xfId="0" applyFont="1" applyAlignment="1">
      <alignment horizontal="center" vertical="center"/>
    </xf>
    <xf numFmtId="9" fontId="1" fillId="0" borderId="23" xfId="3" applyFont="1" applyBorder="1" applyAlignment="1" applyProtection="1">
      <alignment horizontal="right" vertical="center"/>
      <protection locked="0"/>
    </xf>
    <xf numFmtId="165" fontId="1" fillId="0" borderId="23" xfId="3" applyNumberFormat="1" applyFont="1" applyBorder="1" applyAlignment="1" applyProtection="1">
      <alignment horizontal="right" vertical="center"/>
      <protection locked="0"/>
    </xf>
    <xf numFmtId="3" fontId="1" fillId="0" borderId="23" xfId="3" applyNumberFormat="1" applyFont="1" applyBorder="1" applyAlignment="1" applyProtection="1">
      <alignment horizontal="right" vertical="center"/>
      <protection locked="0"/>
    </xf>
    <xf numFmtId="9" fontId="1" fillId="0" borderId="26" xfId="3" applyFont="1" applyBorder="1" applyAlignment="1" applyProtection="1">
      <alignment horizontal="right" vertical="center"/>
      <protection locked="0"/>
    </xf>
    <xf numFmtId="164" fontId="1" fillId="0" borderId="26" xfId="3" applyNumberFormat="1" applyFont="1" applyBorder="1" applyAlignment="1" applyProtection="1">
      <alignment horizontal="right" vertical="center"/>
      <protection locked="0"/>
    </xf>
    <xf numFmtId="9" fontId="1" fillId="0" borderId="29" xfId="3" applyFont="1" applyBorder="1" applyAlignment="1" applyProtection="1">
      <alignment horizontal="right" vertical="center"/>
      <protection locked="0"/>
    </xf>
    <xf numFmtId="164" fontId="1" fillId="0" borderId="29" xfId="3" applyNumberFormat="1" applyFont="1" applyBorder="1" applyAlignment="1" applyProtection="1">
      <alignment horizontal="right" vertical="center"/>
      <protection locked="0"/>
    </xf>
    <xf numFmtId="0" fontId="14" fillId="0" borderId="0" xfId="0" applyFont="1" applyAlignment="1" applyProtection="1">
      <alignment vertical="center"/>
      <protection locked="0"/>
    </xf>
    <xf numFmtId="0" fontId="50" fillId="0" borderId="27" xfId="0" applyFont="1" applyBorder="1" applyAlignment="1" applyProtection="1">
      <alignment vertical="center"/>
      <protection locked="0"/>
    </xf>
    <xf numFmtId="0" fontId="50" fillId="0" borderId="28" xfId="0" applyFont="1" applyBorder="1" applyAlignment="1" applyProtection="1">
      <alignment vertical="center" wrapText="1"/>
      <protection locked="0"/>
    </xf>
    <xf numFmtId="0" fontId="52" fillId="0" borderId="0" xfId="0" applyFont="1" applyAlignment="1" applyProtection="1">
      <alignment vertical="center"/>
      <protection locked="0"/>
    </xf>
    <xf numFmtId="9" fontId="71" fillId="0" borderId="0" xfId="3" applyFont="1" applyFill="1" applyBorder="1" applyAlignment="1" applyProtection="1">
      <alignment horizontal="right" vertical="center"/>
      <protection locked="0"/>
    </xf>
    <xf numFmtId="9" fontId="52" fillId="0" borderId="0" xfId="3" applyFont="1" applyFill="1" applyBorder="1" applyAlignment="1" applyProtection="1">
      <alignment horizontal="left" vertical="center"/>
      <protection locked="0"/>
    </xf>
    <xf numFmtId="9" fontId="62" fillId="0" borderId="29" xfId="3" applyFont="1" applyBorder="1" applyAlignment="1" applyProtection="1">
      <alignment horizontal="right" vertical="center"/>
      <protection locked="0"/>
    </xf>
    <xf numFmtId="164" fontId="62" fillId="0" borderId="29" xfId="3" applyNumberFormat="1" applyFont="1" applyBorder="1" applyAlignment="1" applyProtection="1">
      <alignment horizontal="right" vertical="center"/>
      <protection locked="0"/>
    </xf>
    <xf numFmtId="9" fontId="1" fillId="0" borderId="31" xfId="3" applyFont="1" applyBorder="1" applyAlignment="1" applyProtection="1">
      <alignment horizontal="right" vertical="center"/>
      <protection locked="0"/>
    </xf>
    <xf numFmtId="9" fontId="72" fillId="0" borderId="0" xfId="3" applyFont="1" applyFill="1" applyBorder="1" applyAlignment="1" applyProtection="1">
      <alignment horizontal="right" vertical="center"/>
      <protection locked="0"/>
    </xf>
    <xf numFmtId="9" fontId="73" fillId="0" borderId="0" xfId="3" applyFont="1" applyFill="1" applyBorder="1" applyAlignment="1" applyProtection="1">
      <alignment horizontal="right" vertical="center"/>
      <protection locked="0"/>
    </xf>
    <xf numFmtId="164" fontId="1" fillId="0" borderId="23" xfId="3" applyNumberFormat="1" applyFont="1" applyBorder="1" applyAlignment="1" applyProtection="1">
      <alignment horizontal="right" vertical="center"/>
      <protection locked="0"/>
    </xf>
    <xf numFmtId="164" fontId="71" fillId="0" borderId="0" xfId="2" applyNumberFormat="1" applyFont="1" applyBorder="1" applyAlignment="1" applyProtection="1">
      <alignment horizontal="left" vertical="center"/>
      <protection locked="0"/>
    </xf>
    <xf numFmtId="0" fontId="71" fillId="0" borderId="0" xfId="0" applyFont="1" applyAlignment="1" applyProtection="1">
      <alignment horizontal="right" vertical="center"/>
      <protection locked="0"/>
    </xf>
    <xf numFmtId="164" fontId="71" fillId="0" borderId="26" xfId="3" applyNumberFormat="1" applyFont="1" applyBorder="1" applyAlignment="1" applyProtection="1">
      <alignment horizontal="right" vertical="center"/>
      <protection locked="0"/>
    </xf>
    <xf numFmtId="165" fontId="71" fillId="0" borderId="26" xfId="3" applyNumberFormat="1" applyFont="1" applyBorder="1" applyAlignment="1" applyProtection="1">
      <alignment horizontal="right" vertical="center"/>
      <protection locked="0"/>
    </xf>
    <xf numFmtId="9" fontId="62" fillId="0" borderId="26" xfId="3" applyFont="1" applyBorder="1" applyAlignment="1" applyProtection="1">
      <alignment horizontal="right" vertical="center"/>
      <protection locked="0"/>
    </xf>
    <xf numFmtId="164" fontId="62" fillId="0" borderId="26" xfId="3" applyNumberFormat="1" applyFont="1" applyBorder="1" applyAlignment="1" applyProtection="1">
      <alignment horizontal="right" vertical="center"/>
      <protection locked="0"/>
    </xf>
    <xf numFmtId="164" fontId="71" fillId="0" borderId="31" xfId="3" applyNumberFormat="1" applyFont="1" applyBorder="1" applyAlignment="1" applyProtection="1">
      <alignment horizontal="right" vertical="center"/>
      <protection locked="0"/>
    </xf>
    <xf numFmtId="165" fontId="71" fillId="0" borderId="31" xfId="3" applyNumberFormat="1" applyFont="1" applyBorder="1" applyAlignment="1" applyProtection="1">
      <alignment horizontal="right" vertical="center"/>
      <protection locked="0"/>
    </xf>
    <xf numFmtId="9" fontId="62" fillId="0" borderId="31" xfId="3" applyFont="1" applyBorder="1" applyAlignment="1" applyProtection="1">
      <alignment horizontal="right" vertical="center"/>
      <protection locked="0"/>
    </xf>
    <xf numFmtId="164" fontId="62" fillId="0" borderId="31" xfId="3" applyNumberFormat="1" applyFont="1" applyBorder="1" applyAlignment="1" applyProtection="1">
      <alignment horizontal="right" vertical="center"/>
      <protection locked="0"/>
    </xf>
    <xf numFmtId="165" fontId="74" fillId="0" borderId="23" xfId="3" applyNumberFormat="1" applyFont="1" applyBorder="1" applyAlignment="1" applyProtection="1">
      <alignment horizontal="right" vertical="center"/>
      <protection locked="0"/>
    </xf>
    <xf numFmtId="164" fontId="56" fillId="0" borderId="0" xfId="3" applyNumberFormat="1" applyFont="1" applyBorder="1" applyAlignment="1" applyProtection="1">
      <alignment horizontal="right" vertical="center"/>
      <protection locked="0"/>
    </xf>
    <xf numFmtId="165" fontId="56" fillId="0" borderId="0" xfId="3" applyNumberFormat="1" applyFont="1" applyBorder="1" applyAlignment="1" applyProtection="1">
      <alignment horizontal="right" vertical="center"/>
      <protection locked="0"/>
    </xf>
    <xf numFmtId="9" fontId="1" fillId="0" borderId="0" xfId="3" applyFont="1" applyBorder="1" applyAlignment="1" applyProtection="1">
      <alignment horizontal="right" vertical="center"/>
      <protection locked="0"/>
    </xf>
    <xf numFmtId="164" fontId="1" fillId="0" borderId="0" xfId="3" applyNumberFormat="1" applyFont="1" applyBorder="1" applyAlignment="1" applyProtection="1">
      <alignment horizontal="right" vertical="center"/>
      <protection locked="0"/>
    </xf>
    <xf numFmtId="4" fontId="1" fillId="0" borderId="26" xfId="3" applyNumberFormat="1" applyFont="1" applyBorder="1" applyAlignment="1" applyProtection="1">
      <alignment horizontal="right" vertical="center"/>
      <protection locked="0"/>
    </xf>
    <xf numFmtId="3" fontId="1" fillId="0" borderId="31" xfId="3" applyNumberFormat="1" applyFont="1" applyBorder="1" applyAlignment="1" applyProtection="1">
      <alignment horizontal="right" vertical="center"/>
      <protection locked="0"/>
    </xf>
    <xf numFmtId="0" fontId="22" fillId="15" borderId="0" xfId="0" applyFont="1" applyFill="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4" xfId="0" applyBorder="1" applyAlignment="1">
      <alignment vertical="center" wrapText="1"/>
    </xf>
    <xf numFmtId="0" fontId="3" fillId="0" borderId="4" xfId="0" applyFont="1"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2" fillId="0" borderId="0" xfId="0" applyFont="1" applyAlignment="1">
      <alignment vertical="center"/>
    </xf>
    <xf numFmtId="0" fontId="76" fillId="0" borderId="0" xfId="0" applyFont="1" applyAlignment="1" applyProtection="1">
      <alignment vertical="center"/>
      <protection locked="0"/>
    </xf>
    <xf numFmtId="0" fontId="77" fillId="0" borderId="0" xfId="0" applyFont="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right" vertical="center"/>
    </xf>
    <xf numFmtId="0" fontId="67" fillId="0" borderId="0" xfId="0" applyFont="1" applyBorder="1" applyAlignment="1">
      <alignment vertical="center"/>
    </xf>
    <xf numFmtId="0" fontId="67" fillId="0" borderId="5" xfId="0" applyFont="1" applyBorder="1" applyAlignment="1">
      <alignment vertical="center"/>
    </xf>
    <xf numFmtId="0" fontId="0" fillId="0" borderId="5" xfId="0" applyBorder="1" applyAlignment="1">
      <alignment vertical="center"/>
    </xf>
    <xf numFmtId="16" fontId="0" fillId="0" borderId="0" xfId="0" applyNumberFormat="1" applyBorder="1" applyAlignment="1">
      <alignment horizontal="right" vertical="center"/>
    </xf>
    <xf numFmtId="0" fontId="7"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6" fillId="0" borderId="0" xfId="0" applyFont="1" applyBorder="1" applyAlignment="1">
      <alignment horizontal="right" vertical="center" wrapText="1"/>
    </xf>
    <xf numFmtId="0" fontId="6" fillId="0" borderId="4" xfId="0" applyFont="1" applyBorder="1" applyAlignment="1">
      <alignment vertical="top"/>
    </xf>
    <xf numFmtId="0" fontId="6" fillId="0" borderId="0" xfId="0" applyFont="1" applyBorder="1" applyAlignment="1">
      <alignment vertical="top"/>
    </xf>
    <xf numFmtId="0" fontId="6" fillId="0" borderId="5" xfId="0" applyFont="1" applyBorder="1" applyAlignment="1">
      <alignmen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22" fillId="0" borderId="4" xfId="0" quotePrefix="1"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5" fillId="0" borderId="4" xfId="0" applyFont="1" applyBorder="1" applyAlignment="1">
      <alignment vertical="top"/>
    </xf>
    <xf numFmtId="0" fontId="6" fillId="0" borderId="0" xfId="0" applyFont="1" applyAlignment="1">
      <alignment vertical="top"/>
    </xf>
    <xf numFmtId="0" fontId="24" fillId="0" borderId="0" xfId="0" applyFont="1" applyBorder="1" applyAlignment="1">
      <alignment vertical="center"/>
    </xf>
    <xf numFmtId="0" fontId="6" fillId="0" borderId="4" xfId="0" quotePrefix="1" applyFont="1" applyBorder="1" applyAlignment="1">
      <alignment vertical="top"/>
    </xf>
    <xf numFmtId="0" fontId="22" fillId="0" borderId="4" xfId="0" applyFont="1" applyBorder="1" applyAlignment="1">
      <alignment vertical="top"/>
    </xf>
    <xf numFmtId="0" fontId="14" fillId="0" borderId="4" xfId="0" applyFont="1" applyBorder="1" applyAlignment="1">
      <alignment vertical="top"/>
    </xf>
    <xf numFmtId="0" fontId="65" fillId="0" borderId="4" xfId="0" applyFont="1" applyBorder="1" applyAlignment="1">
      <alignment horizontal="left" vertical="top"/>
    </xf>
    <xf numFmtId="0" fontId="17" fillId="0" borderId="4" xfId="0" quotePrefix="1"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11" fillId="0" borderId="4" xfId="4" quotePrefix="1" applyBorder="1" applyAlignment="1">
      <alignment vertical="center"/>
    </xf>
    <xf numFmtId="0" fontId="7" fillId="0" borderId="0" xfId="0" applyFont="1" applyBorder="1"/>
    <xf numFmtId="0" fontId="11" fillId="0" borderId="4" xfId="4" quotePrefix="1" applyBorder="1" applyAlignment="1">
      <alignment vertical="top"/>
    </xf>
    <xf numFmtId="0" fontId="7" fillId="0" borderId="5" xfId="0" applyFont="1" applyBorder="1"/>
    <xf numFmtId="0" fontId="7" fillId="0" borderId="5" xfId="0" applyFont="1" applyBorder="1" applyAlignment="1">
      <alignment vertical="center"/>
    </xf>
    <xf numFmtId="0" fontId="22" fillId="0" borderId="4" xfId="0" quotePrefix="1" applyFont="1" applyBorder="1" applyAlignment="1">
      <alignment vertical="top" wrapText="1"/>
    </xf>
    <xf numFmtId="0" fontId="65" fillId="0" borderId="0" xfId="0" quotePrefix="1" applyFont="1" applyBorder="1" applyAlignment="1">
      <alignment vertical="top" wrapText="1"/>
    </xf>
    <xf numFmtId="0" fontId="65" fillId="0" borderId="5" xfId="0" quotePrefix="1" applyFont="1" applyBorder="1" applyAlignment="1">
      <alignment vertical="top" wrapText="1"/>
    </xf>
    <xf numFmtId="0" fontId="65" fillId="0" borderId="4" xfId="0" quotePrefix="1" applyFont="1" applyBorder="1" applyAlignment="1">
      <alignment vertical="top" wrapText="1"/>
    </xf>
    <xf numFmtId="0" fontId="65" fillId="0" borderId="6" xfId="0" quotePrefix="1" applyFont="1" applyBorder="1" applyAlignment="1">
      <alignment vertical="top" wrapText="1"/>
    </xf>
    <xf numFmtId="0" fontId="65" fillId="0" borderId="7" xfId="0" quotePrefix="1" applyFont="1" applyBorder="1" applyAlignment="1">
      <alignment vertical="top" wrapText="1"/>
    </xf>
    <xf numFmtId="0" fontId="65" fillId="0" borderId="8" xfId="0" quotePrefix="1" applyFont="1" applyBorder="1" applyAlignment="1">
      <alignmen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22" fillId="0" borderId="4"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 xfId="0" quotePrefix="1" applyFont="1" applyBorder="1" applyAlignment="1">
      <alignment horizontal="left" vertical="top"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0" xfId="0" applyFont="1" applyFill="1" applyAlignment="1">
      <alignment horizontal="center" vertical="center" wrapText="1"/>
    </xf>
    <xf numFmtId="0" fontId="6" fillId="0" borderId="4" xfId="0" applyFont="1" applyBorder="1" applyAlignment="1">
      <alignment horizontal="justify" vertical="top" wrapText="1"/>
    </xf>
    <xf numFmtId="0" fontId="6" fillId="0" borderId="0" xfId="0" applyFont="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22" fillId="0" borderId="4" xfId="0" applyFont="1" applyBorder="1" applyAlignment="1">
      <alignment horizontal="left" vertical="top" wrapText="1"/>
    </xf>
    <xf numFmtId="0" fontId="22" fillId="0" borderId="0" xfId="0" applyFont="1" applyBorder="1" applyAlignment="1">
      <alignment horizontal="left" vertical="top" wrapText="1"/>
    </xf>
    <xf numFmtId="0" fontId="22" fillId="0" borderId="5" xfId="0" applyFont="1" applyBorder="1" applyAlignment="1">
      <alignment horizontal="left" vertical="top" wrapText="1"/>
    </xf>
    <xf numFmtId="0" fontId="6" fillId="0" borderId="4" xfId="0" quotePrefix="1" applyFont="1" applyBorder="1" applyAlignment="1">
      <alignment horizontal="justify" vertical="top" wrapText="1"/>
    </xf>
    <xf numFmtId="0" fontId="22" fillId="0" borderId="4" xfId="0" quotePrefix="1" applyFont="1" applyBorder="1" applyAlignment="1">
      <alignment horizontal="justify" vertical="top" wrapText="1"/>
    </xf>
    <xf numFmtId="0" fontId="22" fillId="0" borderId="0" xfId="0" applyFont="1" applyAlignment="1">
      <alignment horizontal="justify" vertical="top" wrapText="1"/>
    </xf>
    <xf numFmtId="0" fontId="22" fillId="0" borderId="5" xfId="0" applyFont="1" applyBorder="1" applyAlignment="1">
      <alignment horizontal="justify" vertical="top" wrapText="1"/>
    </xf>
    <xf numFmtId="0" fontId="6" fillId="0" borderId="4" xfId="0" applyFont="1" applyBorder="1" applyAlignment="1">
      <alignment horizontal="left" vertical="top"/>
    </xf>
    <xf numFmtId="0" fontId="29" fillId="0" borderId="0" xfId="0" applyFont="1" applyBorder="1" applyAlignment="1">
      <alignment horizontal="left" vertical="top"/>
    </xf>
    <xf numFmtId="0" fontId="29" fillId="0" borderId="5" xfId="0" applyFont="1" applyBorder="1" applyAlignment="1">
      <alignment horizontal="left" vertical="top"/>
    </xf>
    <xf numFmtId="0" fontId="17" fillId="0" borderId="4" xfId="0" quotePrefix="1" applyFont="1" applyBorder="1" applyAlignment="1">
      <alignment horizontal="left" vertical="top" wrapText="1"/>
    </xf>
    <xf numFmtId="0" fontId="17" fillId="0" borderId="0" xfId="0" quotePrefix="1" applyFont="1" applyBorder="1" applyAlignment="1">
      <alignment horizontal="left" vertical="top" wrapText="1"/>
    </xf>
    <xf numFmtId="0" fontId="17" fillId="0" borderId="5" xfId="0" quotePrefix="1" applyFont="1" applyBorder="1" applyAlignment="1">
      <alignment horizontal="left" vertical="top" wrapText="1"/>
    </xf>
    <xf numFmtId="0" fontId="23" fillId="0" borderId="4" xfId="0" applyFont="1" applyBorder="1" applyAlignment="1">
      <alignment horizontal="left" wrapText="1"/>
    </xf>
    <xf numFmtId="0" fontId="23" fillId="0" borderId="0" xfId="0" applyFont="1" applyBorder="1" applyAlignment="1">
      <alignment horizontal="left" wrapText="1"/>
    </xf>
    <xf numFmtId="0" fontId="23" fillId="0" borderId="5" xfId="0" applyFont="1" applyBorder="1" applyAlignment="1">
      <alignment horizontal="left" wrapText="1"/>
    </xf>
    <xf numFmtId="0" fontId="0" fillId="0" borderId="0" xfId="0" applyAlignment="1">
      <alignment horizontal="center" vertical="center" wrapText="1"/>
    </xf>
    <xf numFmtId="0" fontId="6" fillId="0" borderId="6" xfId="0" applyFont="1" applyFill="1" applyBorder="1" applyAlignment="1">
      <alignment horizontal="justify" vertical="top" wrapText="1"/>
    </xf>
    <xf numFmtId="0" fontId="6" fillId="0" borderId="7"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0" xfId="0" quotePrefix="1" applyFont="1" applyAlignment="1">
      <alignment horizontal="justify" vertical="top" wrapText="1"/>
    </xf>
    <xf numFmtId="0" fontId="6" fillId="0" borderId="5" xfId="0" quotePrefix="1" applyFont="1" applyBorder="1" applyAlignment="1">
      <alignment horizontal="justify" vertical="top" wrapText="1"/>
    </xf>
    <xf numFmtId="0" fontId="33" fillId="12" borderId="10" xfId="0" applyFont="1" applyFill="1" applyBorder="1" applyAlignment="1" applyProtection="1">
      <alignment horizontal="center" vertical="center" wrapText="1"/>
      <protection locked="0"/>
    </xf>
    <xf numFmtId="0" fontId="33" fillId="12" borderId="11" xfId="0" applyFont="1" applyFill="1" applyBorder="1" applyAlignment="1" applyProtection="1">
      <alignment horizontal="center" vertical="center" wrapText="1"/>
      <protection locked="0"/>
    </xf>
    <xf numFmtId="0" fontId="33" fillId="16" borderId="10" xfId="0" applyFont="1" applyFill="1" applyBorder="1" applyAlignment="1" applyProtection="1">
      <alignment horizontal="center" vertical="center" wrapText="1"/>
      <protection locked="0"/>
    </xf>
    <xf numFmtId="0" fontId="33" fillId="16" borderId="11" xfId="0" applyFont="1" applyFill="1" applyBorder="1" applyAlignment="1" applyProtection="1">
      <alignment horizontal="center" vertical="center" wrapText="1"/>
      <protection locked="0"/>
    </xf>
    <xf numFmtId="0" fontId="34" fillId="5" borderId="12" xfId="0" applyFont="1" applyFill="1" applyBorder="1" applyAlignment="1" applyProtection="1">
      <alignment horizontal="center" vertical="center" wrapText="1"/>
      <protection locked="0"/>
    </xf>
    <xf numFmtId="0" fontId="34" fillId="5" borderId="13"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34" fillId="5" borderId="15" xfId="0" applyFont="1" applyFill="1" applyBorder="1" applyAlignment="1" applyProtection="1">
      <alignment horizontal="center" vertical="center" wrapText="1"/>
      <protection locked="0"/>
    </xf>
    <xf numFmtId="0" fontId="34" fillId="5" borderId="0" xfId="0" applyFont="1" applyFill="1" applyAlignment="1" applyProtection="1">
      <alignment horizontal="center" vertical="center" wrapText="1"/>
      <protection locked="0"/>
    </xf>
    <xf numFmtId="0" fontId="34" fillId="5" borderId="16" xfId="0" applyFont="1" applyFill="1" applyBorder="1" applyAlignment="1" applyProtection="1">
      <alignment horizontal="center" vertical="center" wrapText="1"/>
      <protection locked="0"/>
    </xf>
    <xf numFmtId="0" fontId="34" fillId="5" borderId="17" xfId="0" applyFont="1" applyFill="1" applyBorder="1" applyAlignment="1" applyProtection="1">
      <alignment horizontal="center" vertical="center" wrapText="1"/>
      <protection locked="0"/>
    </xf>
    <xf numFmtId="0" fontId="34" fillId="5" borderId="18" xfId="0" applyFont="1" applyFill="1" applyBorder="1" applyAlignment="1" applyProtection="1">
      <alignment horizontal="center" vertical="center" wrapText="1"/>
      <protection locked="0"/>
    </xf>
    <xf numFmtId="0" fontId="34" fillId="5" borderId="19" xfId="0" applyFont="1" applyFill="1" applyBorder="1" applyAlignment="1" applyProtection="1">
      <alignment horizontal="center" vertical="center" wrapText="1"/>
      <protection locked="0"/>
    </xf>
    <xf numFmtId="0" fontId="34" fillId="13" borderId="20" xfId="0" applyFont="1" applyFill="1" applyBorder="1" applyAlignment="1" applyProtection="1">
      <alignment horizontal="center" vertical="center" wrapText="1"/>
      <protection locked="0"/>
    </xf>
    <xf numFmtId="0" fontId="34" fillId="13" borderId="21" xfId="0" applyFont="1" applyFill="1" applyBorder="1" applyAlignment="1" applyProtection="1">
      <alignment horizontal="center" vertical="center" wrapText="1"/>
      <protection locked="0"/>
    </xf>
    <xf numFmtId="0" fontId="34" fillId="13" borderId="22" xfId="0" applyFont="1" applyFill="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21"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38" fillId="0" borderId="22" xfId="0" applyFont="1" applyBorder="1" applyAlignment="1" applyProtection="1">
      <alignment horizontal="center" vertical="center"/>
      <protection locked="0"/>
    </xf>
    <xf numFmtId="165" fontId="36" fillId="0" borderId="20" xfId="2" applyNumberFormat="1" applyFont="1" applyBorder="1" applyAlignment="1" applyProtection="1">
      <alignment horizontal="center" vertical="center"/>
      <protection locked="0"/>
    </xf>
    <xf numFmtId="165" fontId="36" fillId="0" borderId="21" xfId="2" applyNumberFormat="1" applyFont="1" applyBorder="1" applyAlignment="1" applyProtection="1">
      <alignment horizontal="center" vertical="center"/>
      <protection locked="0"/>
    </xf>
    <xf numFmtId="165" fontId="36" fillId="0" borderId="22" xfId="2" applyNumberFormat="1" applyFont="1" applyBorder="1" applyAlignment="1" applyProtection="1">
      <alignment horizontal="center" vertical="center"/>
      <protection locked="0"/>
    </xf>
    <xf numFmtId="0" fontId="40" fillId="0" borderId="0" xfId="0" applyFont="1" applyAlignment="1" applyProtection="1">
      <alignment horizontal="right" vertical="center"/>
      <protection locked="0"/>
    </xf>
    <xf numFmtId="3" fontId="41" fillId="0" borderId="20" xfId="0" applyNumberFormat="1" applyFont="1" applyBorder="1" applyAlignment="1" applyProtection="1">
      <alignment horizontal="center" vertical="center"/>
      <protection locked="0"/>
    </xf>
    <xf numFmtId="3" fontId="41" fillId="0" borderId="21" xfId="0" applyNumberFormat="1" applyFont="1" applyBorder="1" applyAlignment="1" applyProtection="1">
      <alignment horizontal="center" vertical="center"/>
      <protection locked="0"/>
    </xf>
    <xf numFmtId="3" fontId="41" fillId="0" borderId="22" xfId="0" applyNumberFormat="1" applyFont="1" applyBorder="1" applyAlignment="1" applyProtection="1">
      <alignment horizontal="center" vertical="center"/>
      <protection locked="0"/>
    </xf>
    <xf numFmtId="0" fontId="42" fillId="0" borderId="0" xfId="0" applyFont="1" applyAlignment="1" applyProtection="1">
      <alignment horizontal="left" vertical="center"/>
    </xf>
    <xf numFmtId="0" fontId="43" fillId="0" borderId="11" xfId="0" applyFont="1" applyBorder="1" applyAlignment="1" applyProtection="1">
      <alignment horizontal="center" vertical="center"/>
    </xf>
    <xf numFmtId="0" fontId="44" fillId="8" borderId="20" xfId="0" applyFont="1" applyFill="1" applyBorder="1" applyAlignment="1" applyProtection="1">
      <alignment horizontal="center" vertical="center"/>
      <protection locked="0"/>
    </xf>
    <xf numFmtId="0" fontId="44" fillId="8" borderId="21" xfId="0" applyFont="1" applyFill="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36" fillId="0" borderId="0" xfId="0" applyFont="1" applyAlignment="1" applyProtection="1">
      <alignment horizontal="justify" vertical="center"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36" fillId="0" borderId="26" xfId="0" applyFont="1" applyBorder="1" applyAlignment="1" applyProtection="1">
      <alignment horizontal="center" vertical="center" textRotation="90"/>
      <protection locked="0"/>
    </xf>
    <xf numFmtId="0" fontId="36" fillId="0" borderId="29" xfId="0" applyFont="1" applyBorder="1" applyAlignment="1" applyProtection="1">
      <alignment horizontal="center" vertical="center" textRotation="90"/>
      <protection locked="0"/>
    </xf>
    <xf numFmtId="0" fontId="36" fillId="0" borderId="31" xfId="0" applyFont="1" applyBorder="1" applyAlignment="1" applyProtection="1">
      <alignment horizontal="center" vertical="center" textRotation="90"/>
      <protection locked="0"/>
    </xf>
  </cellXfs>
  <cellStyles count="6">
    <cellStyle name="Lien hypertexte" xfId="4" builtinId="8"/>
    <cellStyle name="Milliers" xfId="1" builtinId="3"/>
    <cellStyle name="Monétaire" xfId="2" builtinId="4"/>
    <cellStyle name="Normal" xfId="0" builtinId="0"/>
    <cellStyle name="Normal 2" xfId="5" xr:uid="{00000000-0005-0000-0000-000004000000}"/>
    <cellStyle name="Pourcentage" xfId="3" builtinId="5"/>
  </cellStyles>
  <dxfs count="119">
    <dxf>
      <font>
        <color rgb="FFFF0000"/>
      </font>
    </dxf>
    <dxf>
      <font>
        <color theme="0"/>
      </font>
    </dxf>
    <dxf>
      <font>
        <color theme="0"/>
      </font>
    </dxf>
    <dxf>
      <font>
        <color theme="0"/>
      </font>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bgColor theme="9" tint="0.59996337778862885"/>
        </patternFill>
      </fill>
    </dxf>
    <dxf>
      <fill>
        <patternFill>
          <bgColor theme="9" tint="0.59996337778862885"/>
        </patternFill>
      </fill>
    </dxf>
    <dxf>
      <font>
        <color theme="0"/>
      </font>
    </dxf>
    <dxf>
      <font>
        <color theme="0"/>
      </font>
    </dxf>
    <dxf>
      <font>
        <color theme="0"/>
      </font>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8205"/>
      </font>
    </dxf>
    <dxf>
      <font>
        <color theme="9" tint="-0.24994659260841701"/>
      </font>
    </dxf>
    <dxf>
      <font>
        <color rgb="FFFF8205"/>
      </font>
    </dxf>
    <dxf>
      <font>
        <color theme="9" tint="-0.24994659260841701"/>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ill>
        <patternFill>
          <bgColor theme="9" tint="0.59996337778862885"/>
        </patternFill>
      </fill>
    </dxf>
    <dxf>
      <fill>
        <patternFill>
          <bgColor theme="9" tint="0.59996337778862885"/>
        </patternFill>
      </fill>
    </dxf>
    <dxf>
      <font>
        <color rgb="FFFF8205"/>
      </font>
    </dxf>
    <dxf>
      <font>
        <color theme="9" tint="-0.24994659260841701"/>
      </font>
    </dxf>
    <dxf>
      <font>
        <color rgb="FFFF8205"/>
      </font>
    </dxf>
    <dxf>
      <font>
        <color theme="9" tint="-0.24994659260841701"/>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theme="0"/>
      </font>
    </dxf>
    <dxf>
      <font>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2842100473653734E-2"/>
          <c:y val="0.26143818397863233"/>
          <c:w val="0.50190253451636946"/>
          <c:h val="0.67510719057346524"/>
        </c:manualLayout>
      </c:layout>
      <c:pieChart>
        <c:varyColors val="1"/>
        <c:ser>
          <c:idx val="0"/>
          <c:order val="0"/>
          <c:explosion val="10"/>
          <c:dLbls>
            <c:spPr>
              <a:noFill/>
              <a:ln>
                <a:noFill/>
              </a:ln>
              <a:effectLst/>
            </c:spPr>
            <c:txPr>
              <a:bodyPr rot="0" wrap="square" lIns="38100" tIns="19050" rIns="38100" bIns="19050" anchor="ctr">
                <a:spAutoFit/>
              </a:bodyPr>
              <a:lstStyle/>
              <a:p>
                <a:pPr>
                  <a:defRPr b="1" i="0" baseline="0">
                    <a:ln w="3175">
                      <a:noFill/>
                    </a:ln>
                    <a:solidFill>
                      <a:schemeClr val="tx1">
                        <a:alpha val="98000"/>
                      </a:schemeClr>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('Maquette SAMT'!$C$20,'Maquette SAMT'!$C$26,'Maquette SAMT'!$C$34,'Maquette SAMT'!$C$35,'Maquette SAMT'!$C$44,'Maquette SAMT'!$C$45,'Maquette SAMT'!$C$46,'Maquette SAMT'!$C$47,'Maquette SAMT'!$C$48)</c:f>
              <c:strCache>
                <c:ptCount val="9"/>
                <c:pt idx="0">
                  <c:v>Titres 1 : Charges de personnel</c:v>
                </c:pt>
                <c:pt idx="1">
                  <c:v>Titre 2 : Charges à caractére médical</c:v>
                </c:pt>
                <c:pt idx="2">
                  <c:v>Titre 3 : Charges à caractére hôtelier et général</c:v>
                </c:pt>
                <c:pt idx="3">
                  <c:v>Titre 4 : Charges à caractére financier</c:v>
                </c:pt>
                <c:pt idx="4">
                  <c:v>LM - Pharmacie</c:v>
                </c:pt>
                <c:pt idx="5">
                  <c:v>LM - Stérilisation</c:v>
                </c:pt>
                <c:pt idx="6">
                  <c:v>LM - Génie biomédical</c:v>
                </c:pt>
                <c:pt idx="7">
                  <c:v>LM - Hygiène hospitalière et vigilances</c:v>
                </c:pt>
                <c:pt idx="8">
                  <c:v>LM - Autre logistique médicale</c:v>
                </c:pt>
              </c:strCache>
            </c:strRef>
          </c:cat>
          <c:val>
            <c:numRef>
              <c:f>('Maquette SAMT'!$I$20,'Maquette SAMT'!$I$26,'Maquette SAMT'!$I$34,'Maquette SAMT'!$I$35,'Maquette SAMT'!$I$44,'Maquette SAMT'!$I$45,'Maquette SAMT'!$I$46,'Maquette SAMT'!$I$47,'Maquette SAMT'!$I$48)</c:f>
              <c:numCache>
                <c:formatCode>0%</c:formatCode>
                <c:ptCount val="9"/>
                <c:pt idx="0">
                  <c:v>0.79654797153359036</c:v>
                </c:pt>
                <c:pt idx="1">
                  <c:v>0.12794815161283893</c:v>
                </c:pt>
                <c:pt idx="2">
                  <c:v>4.1086119522299704E-5</c:v>
                </c:pt>
                <c:pt idx="3">
                  <c:v>5.9608813422964479E-2</c:v>
                </c:pt>
                <c:pt idx="4">
                  <c:v>4.8950667638253658E-3</c:v>
                </c:pt>
                <c:pt idx="5">
                  <c:v>1.9833418760992457E-4</c:v>
                </c:pt>
                <c:pt idx="6">
                  <c:v>4.3234514858454341E-3</c:v>
                </c:pt>
                <c:pt idx="7">
                  <c:v>1.6652769633702209E-3</c:v>
                </c:pt>
                <c:pt idx="8">
                  <c:v>4.7718479104328386E-3</c:v>
                </c:pt>
              </c:numCache>
            </c:numRef>
          </c:val>
          <c:extLst>
            <c:ext xmlns:c16="http://schemas.microsoft.com/office/drawing/2014/chart" uri="{C3380CC4-5D6E-409C-BE32-E72D297353CC}">
              <c16:uniqueId val="{00000000-6403-437D-835B-0FDA982E88AA}"/>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8476980770698272"/>
          <c:y val="0.16065122037488008"/>
          <c:w val="0.39925538971390434"/>
          <c:h val="0.67869734527514092"/>
        </c:manualLayout>
      </c:layout>
      <c:overlay val="0"/>
      <c:txPr>
        <a:bodyPr/>
        <a:lstStyle/>
        <a:p>
          <a:pPr>
            <a:defRPr sz="900" b="1" i="0" baseline="0"/>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hyperlink" Target="#'Maquette SAMT'!A1"/><Relationship Id="rId1" Type="http://schemas.openxmlformats.org/officeDocument/2006/relationships/hyperlink" Target="#'SAISIE DES DONNEES SAMT'!A1"/></Relationships>
</file>

<file path=xl/drawings/_rels/drawing2.xml.rels><?xml version="1.0" encoding="UTF-8" standalone="yes"?>
<Relationships xmlns="http://schemas.openxmlformats.org/package/2006/relationships"><Relationship Id="rId2" Type="http://schemas.openxmlformats.org/officeDocument/2006/relationships/hyperlink" Target="#'Maquette SAMT'!A1"/><Relationship Id="rId1" Type="http://schemas.openxmlformats.org/officeDocument/2006/relationships/hyperlink" Target="#'Fiche de contenu d&#233;taill&#233;e'!C12"/></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SAISIE DES DONNEES SAMT'!A1"/><Relationship Id="rId1" Type="http://schemas.openxmlformats.org/officeDocument/2006/relationships/hyperlink" Target="#'Fiche de contenu d&#233;taill&#233;e'!C12"/></Relationships>
</file>

<file path=xl/drawings/drawing1.xml><?xml version="1.0" encoding="utf-8"?>
<xdr:wsDr xmlns:xdr="http://schemas.openxmlformats.org/drawingml/2006/spreadsheetDrawing" xmlns:a="http://schemas.openxmlformats.org/drawingml/2006/main">
  <xdr:twoCellAnchor>
    <xdr:from>
      <xdr:col>6</xdr:col>
      <xdr:colOff>750569</xdr:colOff>
      <xdr:row>57</xdr:row>
      <xdr:rowOff>589597</xdr:rowOff>
    </xdr:from>
    <xdr:to>
      <xdr:col>10</xdr:col>
      <xdr:colOff>735330</xdr:colOff>
      <xdr:row>58</xdr:row>
      <xdr:rowOff>247650</xdr:rowOff>
    </xdr:to>
    <xdr:sp macro="" textlink="">
      <xdr:nvSpPr>
        <xdr:cNvPr id="44" name="ZoneTexte 43">
          <a:hlinkClick xmlns:r="http://schemas.openxmlformats.org/officeDocument/2006/relationships" r:id="rId1"/>
          <a:extLst>
            <a:ext uri="{FF2B5EF4-FFF2-40B4-BE49-F238E27FC236}">
              <a16:creationId xmlns:a16="http://schemas.microsoft.com/office/drawing/2014/main" id="{98F4B046-BB13-4108-B27D-6159FE218A03}"/>
            </a:ext>
          </a:extLst>
        </xdr:cNvPr>
        <xdr:cNvSpPr txBox="1"/>
      </xdr:nvSpPr>
      <xdr:spPr>
        <a:xfrm>
          <a:off x="6075044" y="11895772"/>
          <a:ext cx="3566161" cy="248603"/>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ctr"/>
          <a:r>
            <a:rPr lang="fr-FR" sz="900" b="1">
              <a:latin typeface="Verdana" panose="020B0604030504040204" pitchFamily="34" charset="0"/>
              <a:ea typeface="Verdana" panose="020B0604030504040204" pitchFamily="34" charset="0"/>
            </a:rPr>
            <a:t>Grille pour la saisie de vos données des</a:t>
          </a:r>
          <a:r>
            <a:rPr lang="fr-FR" sz="900" b="1" baseline="0">
              <a:latin typeface="Verdana" panose="020B0604030504040204" pitchFamily="34" charset="0"/>
              <a:ea typeface="Verdana" panose="020B0604030504040204" pitchFamily="34" charset="0"/>
            </a:rPr>
            <a:t> SAMT</a:t>
          </a:r>
          <a:endParaRPr lang="fr-FR" sz="900" b="1">
            <a:latin typeface="Verdana" panose="020B0604030504040204" pitchFamily="34" charset="0"/>
            <a:ea typeface="Verdana" panose="020B0604030504040204" pitchFamily="34" charset="0"/>
          </a:endParaRPr>
        </a:p>
      </xdr:txBody>
    </xdr:sp>
    <xdr:clientData/>
  </xdr:twoCellAnchor>
  <xdr:twoCellAnchor>
    <xdr:from>
      <xdr:col>7</xdr:col>
      <xdr:colOff>401321</xdr:colOff>
      <xdr:row>60</xdr:row>
      <xdr:rowOff>123508</xdr:rowOff>
    </xdr:from>
    <xdr:to>
      <xdr:col>10</xdr:col>
      <xdr:colOff>585471</xdr:colOff>
      <xdr:row>62</xdr:row>
      <xdr:rowOff>71120</xdr:rowOff>
    </xdr:to>
    <xdr:sp macro="" textlink="">
      <xdr:nvSpPr>
        <xdr:cNvPr id="46" name="Rectangle : coins arrondis 45">
          <a:hlinkClick xmlns:r="http://schemas.openxmlformats.org/officeDocument/2006/relationships" r:id="rId2"/>
          <a:extLst>
            <a:ext uri="{FF2B5EF4-FFF2-40B4-BE49-F238E27FC236}">
              <a16:creationId xmlns:a16="http://schemas.microsoft.com/office/drawing/2014/main" id="{0DA52F39-4C5A-42BB-9199-62C8E7527E8E}"/>
            </a:ext>
          </a:extLst>
        </xdr:cNvPr>
        <xdr:cNvSpPr/>
      </xdr:nvSpPr>
      <xdr:spPr>
        <a:xfrm>
          <a:off x="8097521" y="21516658"/>
          <a:ext cx="2744470" cy="260032"/>
        </a:xfrm>
        <a:prstGeom prst="roundRect">
          <a:avLst/>
        </a:prstGeom>
        <a:solidFill>
          <a:srgbClr val="00B0F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bg1"/>
              </a:solidFill>
              <a:latin typeface="Verdana" panose="020B0604030504040204" pitchFamily="34" charset="0"/>
              <a:ea typeface="Verdana" panose="020B0604030504040204" pitchFamily="34" charset="0"/>
            </a:rPr>
            <a:t>Maquette pour vos résultats (SAMT)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38736</xdr:colOff>
      <xdr:row>0</xdr:row>
      <xdr:rowOff>19263</xdr:rowOff>
    </xdr:from>
    <xdr:to>
      <xdr:col>0</xdr:col>
      <xdr:colOff>1209040</xdr:colOff>
      <xdr:row>3</xdr:row>
      <xdr:rowOff>91442</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44FC450D-E555-4476-99FD-9292F815F7E9}"/>
            </a:ext>
          </a:extLst>
        </xdr:cNvPr>
        <xdr:cNvSpPr txBox="1"/>
      </xdr:nvSpPr>
      <xdr:spPr>
        <a:xfrm>
          <a:off x="38736" y="19263"/>
          <a:ext cx="1170304" cy="527262"/>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t>
          </a:r>
          <a:r>
            <a:rPr lang="fr-FR" sz="1400" b="1">
              <a:solidFill>
                <a:schemeClr val="lt1"/>
              </a:solidFill>
              <a:latin typeface="+mn-lt"/>
              <a:ea typeface="+mn-ea"/>
              <a:cs typeface="+mn-cs"/>
            </a:rPr>
            <a:t>accueil</a:t>
          </a:r>
        </a:p>
      </xdr:txBody>
    </xdr:sp>
    <xdr:clientData/>
  </xdr:twoCellAnchor>
  <xdr:twoCellAnchor>
    <xdr:from>
      <xdr:col>0</xdr:col>
      <xdr:colOff>1289897</xdr:colOff>
      <xdr:row>0</xdr:row>
      <xdr:rowOff>27516</xdr:rowOff>
    </xdr:from>
    <xdr:to>
      <xdr:col>1</xdr:col>
      <xdr:colOff>224367</xdr:colOff>
      <xdr:row>3</xdr:row>
      <xdr:rowOff>98777</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0DD1CF7E-3460-427E-823E-F007ACC06F53}"/>
            </a:ext>
          </a:extLst>
        </xdr:cNvPr>
        <xdr:cNvSpPr txBox="1"/>
      </xdr:nvSpPr>
      <xdr:spPr>
        <a:xfrm>
          <a:off x="1289897" y="27516"/>
          <a:ext cx="1700248" cy="536928"/>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gn="ctr"/>
          <a:r>
            <a:rPr lang="fr-FR" sz="1200"/>
            <a:t>Vos résultats (</a:t>
          </a:r>
          <a:r>
            <a:rPr lang="fr-FR" sz="1200" b="1" i="1"/>
            <a:t>maquette</a:t>
          </a:r>
          <a:r>
            <a:rPr lang="fr-FR" sz="1200"/>
            <a:t>)</a:t>
          </a:r>
        </a:p>
      </xdr:txBody>
    </xdr:sp>
    <xdr:clientData/>
  </xdr:twoCellAnchor>
  <xdr:twoCellAnchor>
    <xdr:from>
      <xdr:col>2</xdr:col>
      <xdr:colOff>27728</xdr:colOff>
      <xdr:row>0</xdr:row>
      <xdr:rowOff>0</xdr:rowOff>
    </xdr:from>
    <xdr:to>
      <xdr:col>2</xdr:col>
      <xdr:colOff>3734222</xdr:colOff>
      <xdr:row>3</xdr:row>
      <xdr:rowOff>146262</xdr:rowOff>
    </xdr:to>
    <xdr:sp macro="" textlink="">
      <xdr:nvSpPr>
        <xdr:cNvPr id="7" name="ZoneTexte 6">
          <a:extLst>
            <a:ext uri="{FF2B5EF4-FFF2-40B4-BE49-F238E27FC236}">
              <a16:creationId xmlns:a16="http://schemas.microsoft.com/office/drawing/2014/main" id="{84910FE7-413C-456F-AB57-154F825B6040}"/>
            </a:ext>
          </a:extLst>
        </xdr:cNvPr>
        <xdr:cNvSpPr txBox="1"/>
      </xdr:nvSpPr>
      <xdr:spPr>
        <a:xfrm>
          <a:off x="3118061" y="0"/>
          <a:ext cx="3706494" cy="60134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t>Ceci</a:t>
          </a:r>
          <a:r>
            <a:rPr lang="fr-FR" sz="1000" i="1" baseline="0"/>
            <a:t> est un exemple renseigné et représente votre onglet de saisie. Les cellules grisées sont à renseigner.</a:t>
          </a:r>
        </a:p>
        <a:p>
          <a:pPr marL="0" marR="0" lvl="0" indent="0" defTabSz="914400" eaLnBrk="1" fontAlgn="auto" latinLnBrk="0" hangingPunct="1">
            <a:lnSpc>
              <a:spcPct val="100000"/>
            </a:lnSpc>
            <a:spcBef>
              <a:spcPts val="0"/>
            </a:spcBef>
            <a:spcAft>
              <a:spcPts val="0"/>
            </a:spcAft>
            <a:buClrTx/>
            <a:buSzTx/>
            <a:buFontTx/>
            <a:buNone/>
            <a:tabLst/>
            <a:defRPr/>
          </a:pPr>
          <a:r>
            <a:rPr lang="fr-FR" sz="1100" i="1" baseline="0">
              <a:solidFill>
                <a:schemeClr val="dk1"/>
              </a:solidFill>
              <a:effectLst/>
              <a:latin typeface="+mn-lt"/>
              <a:ea typeface="+mn-ea"/>
              <a:cs typeface="+mn-cs"/>
            </a:rPr>
            <a:t>La saisie N-1 s'effectue plus bas.</a:t>
          </a:r>
          <a:endParaRPr lang="fr-FR">
            <a:effectLst/>
          </a:endParaRPr>
        </a:p>
        <a:p>
          <a:endParaRPr lang="fr-FR" sz="1100" i="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0</xdr:row>
      <xdr:rowOff>123825</xdr:rowOff>
    </xdr:from>
    <xdr:to>
      <xdr:col>2</xdr:col>
      <xdr:colOff>1210236</xdr:colOff>
      <xdr:row>1</xdr:row>
      <xdr:rowOff>209550</xdr:rowOff>
    </xdr:to>
    <xdr:sp macro="" textlink="">
      <xdr:nvSpPr>
        <xdr:cNvPr id="3" name="ZoneTexte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57150" y="123825"/>
          <a:ext cx="1343586" cy="46672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accueil</a:t>
          </a:r>
          <a:endParaRPr lang="fr-FR" sz="1400" b="1"/>
        </a:p>
      </xdr:txBody>
    </xdr:sp>
    <xdr:clientData/>
  </xdr:twoCellAnchor>
  <xdr:twoCellAnchor>
    <xdr:from>
      <xdr:col>2</xdr:col>
      <xdr:colOff>1409700</xdr:colOff>
      <xdr:row>0</xdr:row>
      <xdr:rowOff>133351</xdr:rowOff>
    </xdr:from>
    <xdr:to>
      <xdr:col>3</xdr:col>
      <xdr:colOff>1419225</xdr:colOff>
      <xdr:row>1</xdr:row>
      <xdr:rowOff>228601</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1600200" y="133351"/>
          <a:ext cx="2352675" cy="4762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Vos données</a:t>
          </a:r>
          <a:r>
            <a:rPr lang="fr-FR" sz="1100" i="1" baseline="0"/>
            <a:t> sont à renseigner dans l'onglet "SAISIE DES DONNEES PT " </a:t>
          </a:r>
          <a:r>
            <a:rPr lang="fr-FR" sz="1100" i="1" baseline="0">
              <a:sym typeface="Webdings" panose="05030102010509060703" pitchFamily="18" charset="2"/>
            </a:rPr>
            <a:t></a:t>
          </a:r>
          <a:endParaRPr lang="fr-FR" sz="1100" i="1" baseline="0"/>
        </a:p>
        <a:p>
          <a:endParaRPr lang="fr-FR" sz="1100" i="1" baseline="0"/>
        </a:p>
      </xdr:txBody>
    </xdr:sp>
    <xdr:clientData/>
  </xdr:twoCellAnchor>
  <xdr:twoCellAnchor>
    <xdr:from>
      <xdr:col>3</xdr:col>
      <xdr:colOff>276225</xdr:colOff>
      <xdr:row>8</xdr:row>
      <xdr:rowOff>742950</xdr:rowOff>
    </xdr:from>
    <xdr:to>
      <xdr:col>3</xdr:col>
      <xdr:colOff>2057400</xdr:colOff>
      <xdr:row>8</xdr:row>
      <xdr:rowOff>923926</xdr:rowOff>
    </xdr:to>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2809875" y="2638425"/>
          <a:ext cx="1619250" cy="1809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i="1"/>
            <a:t>Ceci est un menu déroulant </a:t>
          </a:r>
          <a:r>
            <a:rPr lang="fr-FR" sz="1000" i="1">
              <a:sym typeface="Webdings" panose="05030102010509060703" pitchFamily="18" charset="2"/>
            </a:rPr>
            <a:t></a:t>
          </a:r>
          <a:endParaRPr lang="fr-FR" sz="1000" i="1"/>
        </a:p>
      </xdr:txBody>
    </xdr:sp>
    <xdr:clientData/>
  </xdr:twoCellAnchor>
  <xdr:twoCellAnchor>
    <xdr:from>
      <xdr:col>1</xdr:col>
      <xdr:colOff>57150</xdr:colOff>
      <xdr:row>0</xdr:row>
      <xdr:rowOff>123825</xdr:rowOff>
    </xdr:from>
    <xdr:to>
      <xdr:col>2</xdr:col>
      <xdr:colOff>1210236</xdr:colOff>
      <xdr:row>1</xdr:row>
      <xdr:rowOff>209550</xdr:rowOff>
    </xdr:to>
    <xdr:sp macro="" textlink="">
      <xdr:nvSpPr>
        <xdr:cNvPr id="6" name="ZoneTexte 5">
          <a:hlinkClick xmlns:r="http://schemas.openxmlformats.org/officeDocument/2006/relationships" r:id="rId1"/>
          <a:extLst>
            <a:ext uri="{FF2B5EF4-FFF2-40B4-BE49-F238E27FC236}">
              <a16:creationId xmlns:a16="http://schemas.microsoft.com/office/drawing/2014/main" id="{4CC188C1-C458-44EE-B462-1E560CF093FE}"/>
            </a:ext>
          </a:extLst>
        </xdr:cNvPr>
        <xdr:cNvSpPr txBox="1"/>
      </xdr:nvSpPr>
      <xdr:spPr>
        <a:xfrm>
          <a:off x="57150" y="123825"/>
          <a:ext cx="1351206" cy="46672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accueil</a:t>
          </a:r>
          <a:endParaRPr lang="fr-FR" sz="1400" b="1"/>
        </a:p>
      </xdr:txBody>
    </xdr:sp>
    <xdr:clientData/>
  </xdr:twoCellAnchor>
  <xdr:twoCellAnchor>
    <xdr:from>
      <xdr:col>18</xdr:col>
      <xdr:colOff>266700</xdr:colOff>
      <xdr:row>17</xdr:row>
      <xdr:rowOff>204788</xdr:rowOff>
    </xdr:from>
    <xdr:to>
      <xdr:col>27</xdr:col>
      <xdr:colOff>508527</xdr:colOff>
      <xdr:row>54</xdr:row>
      <xdr:rowOff>180975</xdr:rowOff>
    </xdr:to>
    <xdr:graphicFrame macro="">
      <xdr:nvGraphicFramePr>
        <xdr:cNvPr id="7" name="Graphique 6">
          <a:extLst>
            <a:ext uri="{FF2B5EF4-FFF2-40B4-BE49-F238E27FC236}">
              <a16:creationId xmlns:a16="http://schemas.microsoft.com/office/drawing/2014/main" id="{A787EFAA-B559-4276-B9D9-F8C4990E7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0.12095</cdr:x>
      <cdr:y>0.06049</cdr:y>
    </cdr:from>
    <cdr:to>
      <cdr:x>0.84974</cdr:x>
      <cdr:y>0.16499</cdr:y>
    </cdr:to>
    <cdr:sp macro="" textlink="">
      <cdr:nvSpPr>
        <cdr:cNvPr id="2" name="ZoneTexte 1">
          <a:extLst xmlns:a="http://schemas.openxmlformats.org/drawingml/2006/main">
            <a:ext uri="{FF2B5EF4-FFF2-40B4-BE49-F238E27FC236}">
              <a16:creationId xmlns:a16="http://schemas.microsoft.com/office/drawing/2014/main" id="{B0988432-7CD9-426C-8C6C-D3B4F0D33488}"/>
            </a:ext>
          </a:extLst>
        </cdr:cNvPr>
        <cdr:cNvSpPr txBox="1"/>
      </cdr:nvSpPr>
      <cdr:spPr>
        <a:xfrm xmlns:a="http://schemas.openxmlformats.org/drawingml/2006/main">
          <a:off x="563561" y="209550"/>
          <a:ext cx="3395662"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0.13015</cdr:x>
      <cdr:y>0.07998</cdr:y>
    </cdr:from>
    <cdr:to>
      <cdr:x>0.84566</cdr:x>
      <cdr:y>0.13648</cdr:y>
    </cdr:to>
    <cdr:sp macro="" textlink="#REF!">
      <cdr:nvSpPr>
        <cdr:cNvPr id="3" name="ZoneTexte 3">
          <a:extLst xmlns:a="http://schemas.openxmlformats.org/drawingml/2006/main">
            <a:ext uri="{FF2B5EF4-FFF2-40B4-BE49-F238E27FC236}">
              <a16:creationId xmlns:a16="http://schemas.microsoft.com/office/drawing/2014/main" id="{FB714A6C-1B0D-4463-B3D6-9F7132E32CC7}"/>
            </a:ext>
          </a:extLst>
        </cdr:cNvPr>
        <cdr:cNvSpPr txBox="1"/>
      </cdr:nvSpPr>
      <cdr:spPr>
        <a:xfrm xmlns:a="http://schemas.openxmlformats.org/drawingml/2006/main">
          <a:off x="625486" y="374575"/>
          <a:ext cx="3438662" cy="264560"/>
        </a:xfrm>
        <a:prstGeom xmlns:a="http://schemas.openxmlformats.org/drawingml/2006/main" prst="rect">
          <a:avLst/>
        </a:prstGeom>
      </cdr:spPr>
      <cdr:txBody>
        <a:bodyPr xmlns:a="http://schemas.openxmlformats.org/drawingml/2006/main" vertOverflow="clip" wrap="square" rtlCol="0" anchor="ctr" anchorCtr="1">
          <a:spAutoFit/>
        </a:bodyPr>
        <a:lstStyle xmlns:a="http://schemas.openxmlformats.org/drawingml/2006/main"/>
        <a:p xmlns:a="http://schemas.openxmlformats.org/drawingml/2006/main">
          <a:pPr algn="ctr"/>
          <a:fld id="{4028940B-433A-4DB6-89E2-2FC9692422C1}" type="TxLink">
            <a:rPr lang="en-US" sz="1100" b="1" i="0" u="none" strike="noStrike">
              <a:solidFill>
                <a:srgbClr val="FF0000"/>
              </a:solidFill>
              <a:latin typeface="Calibri"/>
              <a:cs typeface="Calibri"/>
            </a:rPr>
            <a:pPr algn="ctr"/>
            <a:t> </a:t>
          </a:fld>
          <a:endParaRPr lang="fr-FR" sz="1400"/>
        </a:p>
      </cdr:txBody>
    </cdr:sp>
  </cdr:relSizeAnchor>
  <cdr:relSizeAnchor xmlns:cdr="http://schemas.openxmlformats.org/drawingml/2006/chartDrawing">
    <cdr:from>
      <cdr:x>0.09555</cdr:x>
      <cdr:y>0.06442</cdr:y>
    </cdr:from>
    <cdr:to>
      <cdr:x>0.71437</cdr:x>
      <cdr:y>0.14931</cdr:y>
    </cdr:to>
    <cdr:sp macro="" textlink="">
      <cdr:nvSpPr>
        <cdr:cNvPr id="4" name="ZoneTexte 3">
          <a:extLst xmlns:a="http://schemas.openxmlformats.org/drawingml/2006/main">
            <a:ext uri="{FF2B5EF4-FFF2-40B4-BE49-F238E27FC236}">
              <a16:creationId xmlns:a16="http://schemas.microsoft.com/office/drawing/2014/main" id="{C6BA5FC5-3E4C-4CBF-8DF9-189C389B7646}"/>
            </a:ext>
          </a:extLst>
        </cdr:cNvPr>
        <cdr:cNvSpPr txBox="1"/>
      </cdr:nvSpPr>
      <cdr:spPr>
        <a:xfrm xmlns:a="http://schemas.openxmlformats.org/drawingml/2006/main">
          <a:off x="444498" y="224897"/>
          <a:ext cx="2878666" cy="296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0.11057</cdr:x>
      <cdr:y>0.04229</cdr:y>
    </cdr:from>
    <cdr:to>
      <cdr:x>0.92344</cdr:x>
      <cdr:y>0.19236</cdr:y>
    </cdr:to>
    <cdr:sp macro="" textlink="Titre_Graph_PT">
      <cdr:nvSpPr>
        <cdr:cNvPr id="6" name="ZoneTexte 5">
          <a:extLst xmlns:a="http://schemas.openxmlformats.org/drawingml/2006/main">
            <a:ext uri="{FF2B5EF4-FFF2-40B4-BE49-F238E27FC236}">
              <a16:creationId xmlns:a16="http://schemas.microsoft.com/office/drawing/2014/main" id="{59133506-62E4-4935-A1C8-A76896A08C0B}"/>
            </a:ext>
          </a:extLst>
        </cdr:cNvPr>
        <cdr:cNvSpPr txBox="1"/>
      </cdr:nvSpPr>
      <cdr:spPr>
        <a:xfrm xmlns:a="http://schemas.openxmlformats.org/drawingml/2006/main">
          <a:off x="514350" y="147637"/>
          <a:ext cx="3781425"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461ED3C-475E-4291-88D9-2D819A43A4C4}" type="TxLink">
            <a:rPr lang="en-US" sz="1200" b="1" i="0" u="none" strike="noStrike">
              <a:solidFill>
                <a:sysClr val="windowText" lastClr="000000"/>
              </a:solidFill>
              <a:latin typeface="Calibri"/>
              <a:cs typeface="Calibri"/>
            </a:rPr>
            <a:pPr algn="ctr"/>
            <a:t>Structure du coût de l'uo établissement pour la SAMT Imagerie (hors IRM et SCANNER)</a:t>
          </a:fld>
          <a:endParaRPr lang="fr-FR" sz="1200">
            <a:solidFill>
              <a:sysClr val="windowText" lastClr="000000"/>
            </a:solidFil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tc.atih.sante.fr/" TargetMode="External"/><Relationship Id="rId2" Type="http://schemas.openxmlformats.org/officeDocument/2006/relationships/hyperlink" Target="https://www.scansante.fr/applications/cout-dunites-doeuvre" TargetMode="External"/><Relationship Id="rId1" Type="http://schemas.openxmlformats.org/officeDocument/2006/relationships/hyperlink" Target="https://hospidiag.atih.sant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2:M110"/>
  <sheetViews>
    <sheetView showGridLines="0" tabSelected="1" zoomScaleNormal="100" workbookViewId="0">
      <selection activeCell="C12" sqref="C12"/>
    </sheetView>
  </sheetViews>
  <sheetFormatPr baseColWidth="10" defaultColWidth="10.6328125" defaultRowHeight="12.6" x14ac:dyDescent="0.2"/>
  <cols>
    <col min="1" max="1" width="3.26953125" style="143" customWidth="1"/>
    <col min="2" max="2" width="17.453125" style="143" customWidth="1"/>
    <col min="3" max="16384" width="10.6328125" style="143"/>
  </cols>
  <sheetData>
    <row r="2" spans="2:11" ht="40.5" customHeight="1" x14ac:dyDescent="0.2">
      <c r="B2" s="252" t="s">
        <v>202</v>
      </c>
      <c r="C2" s="252"/>
      <c r="D2" s="252"/>
      <c r="E2" s="252"/>
      <c r="F2" s="252"/>
      <c r="G2" s="252"/>
      <c r="H2" s="252"/>
      <c r="I2" s="252"/>
      <c r="J2" s="252"/>
      <c r="K2" s="252"/>
    </row>
    <row r="4" spans="2:11" ht="19.8" x14ac:dyDescent="0.2">
      <c r="B4" s="249" t="s">
        <v>7</v>
      </c>
      <c r="C4" s="250"/>
      <c r="D4" s="250"/>
      <c r="E4" s="250"/>
      <c r="F4" s="250"/>
      <c r="G4" s="250"/>
      <c r="H4" s="250"/>
      <c r="I4" s="250"/>
      <c r="J4" s="250"/>
      <c r="K4" s="251"/>
    </row>
    <row r="5" spans="2:11" ht="15" x14ac:dyDescent="0.25">
      <c r="B5" s="184" t="s">
        <v>20</v>
      </c>
      <c r="C5" s="198"/>
      <c r="D5" s="199" t="s">
        <v>8</v>
      </c>
      <c r="E5" s="232" t="s">
        <v>203</v>
      </c>
      <c r="F5" s="199" t="s">
        <v>9</v>
      </c>
      <c r="G5" s="232" t="s">
        <v>203</v>
      </c>
      <c r="H5" s="199" t="s">
        <v>10</v>
      </c>
      <c r="I5" s="232" t="s">
        <v>203</v>
      </c>
      <c r="J5" s="199" t="s">
        <v>11</v>
      </c>
      <c r="K5" s="234" t="s">
        <v>203</v>
      </c>
    </row>
    <row r="6" spans="2:11" ht="7.95" customHeight="1" x14ac:dyDescent="0.2">
      <c r="B6" s="184"/>
      <c r="C6" s="198"/>
      <c r="D6" s="198"/>
      <c r="E6" s="198"/>
      <c r="F6" s="198"/>
      <c r="G6" s="198"/>
      <c r="H6" s="198"/>
      <c r="I6" s="198"/>
      <c r="J6" s="198"/>
      <c r="K6" s="202"/>
    </row>
    <row r="7" spans="2:11" ht="15" x14ac:dyDescent="0.25">
      <c r="B7" s="184" t="s">
        <v>21</v>
      </c>
      <c r="C7" s="198"/>
      <c r="D7" s="203" t="s">
        <v>16</v>
      </c>
      <c r="E7" s="204" t="s">
        <v>12</v>
      </c>
      <c r="F7" s="205" t="s">
        <v>13</v>
      </c>
      <c r="G7" s="232" t="s">
        <v>203</v>
      </c>
      <c r="H7" s="205" t="s">
        <v>14</v>
      </c>
      <c r="I7" s="204" t="s">
        <v>12</v>
      </c>
      <c r="J7" s="205" t="s">
        <v>15</v>
      </c>
      <c r="K7" s="201" t="s">
        <v>145</v>
      </c>
    </row>
    <row r="8" spans="2:11" ht="7.95" customHeight="1" x14ac:dyDescent="0.2">
      <c r="B8" s="184"/>
      <c r="C8" s="198"/>
      <c r="D8" s="198"/>
      <c r="E8" s="198"/>
      <c r="F8" s="198"/>
      <c r="G8" s="198"/>
      <c r="H8" s="198"/>
      <c r="I8" s="198"/>
      <c r="J8" s="198"/>
      <c r="K8" s="202"/>
    </row>
    <row r="9" spans="2:11" ht="15" x14ac:dyDescent="0.2">
      <c r="B9" s="184" t="s">
        <v>22</v>
      </c>
      <c r="C9" s="198"/>
      <c r="D9" s="199" t="s">
        <v>17</v>
      </c>
      <c r="E9" s="200" t="s">
        <v>145</v>
      </c>
      <c r="F9" s="199" t="s">
        <v>18</v>
      </c>
      <c r="G9" s="204" t="s">
        <v>12</v>
      </c>
      <c r="H9" s="198"/>
      <c r="I9" s="198"/>
      <c r="J9" s="198"/>
      <c r="K9" s="202"/>
    </row>
    <row r="10" spans="2:11" ht="7.95" customHeight="1" x14ac:dyDescent="0.2">
      <c r="B10" s="184"/>
      <c r="C10" s="198"/>
      <c r="D10" s="205"/>
      <c r="E10" s="204"/>
      <c r="F10" s="205"/>
      <c r="G10" s="204"/>
      <c r="H10" s="198"/>
      <c r="I10" s="198"/>
      <c r="J10" s="198"/>
      <c r="K10" s="202"/>
    </row>
    <row r="11" spans="2:11" s="185" customFormat="1" ht="25.2" x14ac:dyDescent="0.2">
      <c r="B11" s="186" t="s">
        <v>24</v>
      </c>
      <c r="C11" s="206"/>
      <c r="D11" s="207" t="s">
        <v>23</v>
      </c>
      <c r="E11" s="204" t="s">
        <v>203</v>
      </c>
      <c r="F11" s="207" t="s">
        <v>25</v>
      </c>
      <c r="G11" s="204" t="s">
        <v>203</v>
      </c>
      <c r="H11" s="207" t="s">
        <v>26</v>
      </c>
      <c r="I11" s="204" t="s">
        <v>203</v>
      </c>
      <c r="J11" s="207" t="s">
        <v>27</v>
      </c>
      <c r="K11" s="235" t="s">
        <v>203</v>
      </c>
    </row>
    <row r="12" spans="2:11" ht="7.95" customHeight="1" x14ac:dyDescent="0.2">
      <c r="B12" s="184"/>
      <c r="C12" s="198"/>
      <c r="D12" s="205"/>
      <c r="E12" s="204"/>
      <c r="F12" s="205"/>
      <c r="G12" s="204"/>
      <c r="H12" s="198"/>
      <c r="I12" s="198"/>
      <c r="J12" s="198"/>
      <c r="K12" s="202"/>
    </row>
    <row r="13" spans="2:11" ht="15" customHeight="1" x14ac:dyDescent="0.2">
      <c r="B13" s="187" t="s">
        <v>19</v>
      </c>
      <c r="C13" s="259" t="s">
        <v>189</v>
      </c>
      <c r="D13" s="259"/>
      <c r="E13" s="259"/>
      <c r="F13" s="259"/>
      <c r="G13" s="259"/>
      <c r="H13" s="259"/>
      <c r="I13" s="259"/>
      <c r="J13" s="259"/>
      <c r="K13" s="260"/>
    </row>
    <row r="14" spans="2:11" ht="15" customHeight="1" x14ac:dyDescent="0.2">
      <c r="B14" s="184"/>
      <c r="C14" s="259"/>
      <c r="D14" s="259"/>
      <c r="E14" s="259"/>
      <c r="F14" s="259"/>
      <c r="G14" s="259"/>
      <c r="H14" s="259"/>
      <c r="I14" s="259"/>
      <c r="J14" s="259"/>
      <c r="K14" s="260"/>
    </row>
    <row r="15" spans="2:11" x14ac:dyDescent="0.2">
      <c r="B15" s="184"/>
      <c r="C15" s="259"/>
      <c r="D15" s="259"/>
      <c r="E15" s="259"/>
      <c r="F15" s="259"/>
      <c r="G15" s="259"/>
      <c r="H15" s="259"/>
      <c r="I15" s="259"/>
      <c r="J15" s="259"/>
      <c r="K15" s="260"/>
    </row>
    <row r="16" spans="2:11" ht="7.95" customHeight="1" thickBot="1" x14ac:dyDescent="0.25">
      <c r="B16" s="188"/>
      <c r="C16" s="189"/>
      <c r="D16" s="189"/>
      <c r="E16" s="189"/>
      <c r="F16" s="189"/>
      <c r="G16" s="189"/>
      <c r="H16" s="189"/>
      <c r="I16" s="189"/>
      <c r="J16" s="189"/>
      <c r="K16" s="190"/>
    </row>
    <row r="17" spans="2:11" ht="13.2" thickTop="1" x14ac:dyDescent="0.2"/>
    <row r="18" spans="2:11" ht="19.8" x14ac:dyDescent="0.2">
      <c r="B18" s="249" t="s">
        <v>0</v>
      </c>
      <c r="C18" s="250"/>
      <c r="D18" s="250"/>
      <c r="E18" s="250"/>
      <c r="F18" s="250"/>
      <c r="G18" s="250"/>
      <c r="H18" s="250"/>
      <c r="I18" s="250"/>
      <c r="J18" s="250"/>
      <c r="K18" s="251"/>
    </row>
    <row r="19" spans="2:11" x14ac:dyDescent="0.2">
      <c r="B19" s="253" t="s">
        <v>195</v>
      </c>
      <c r="C19" s="254"/>
      <c r="D19" s="254"/>
      <c r="E19" s="254"/>
      <c r="F19" s="254"/>
      <c r="G19" s="254"/>
      <c r="H19" s="254"/>
      <c r="I19" s="254"/>
      <c r="J19" s="254"/>
      <c r="K19" s="255"/>
    </row>
    <row r="20" spans="2:11" x14ac:dyDescent="0.2">
      <c r="B20" s="253"/>
      <c r="C20" s="254"/>
      <c r="D20" s="254"/>
      <c r="E20" s="254"/>
      <c r="F20" s="254"/>
      <c r="G20" s="254"/>
      <c r="H20" s="254"/>
      <c r="I20" s="254"/>
      <c r="J20" s="254"/>
      <c r="K20" s="255"/>
    </row>
    <row r="21" spans="2:11" x14ac:dyDescent="0.2">
      <c r="B21" s="253"/>
      <c r="C21" s="254"/>
      <c r="D21" s="254"/>
      <c r="E21" s="254"/>
      <c r="F21" s="254"/>
      <c r="G21" s="254"/>
      <c r="H21" s="254"/>
      <c r="I21" s="254"/>
      <c r="J21" s="254"/>
      <c r="K21" s="255"/>
    </row>
    <row r="22" spans="2:11" ht="13.2" thickBot="1" x14ac:dyDescent="0.25">
      <c r="B22" s="256"/>
      <c r="C22" s="257"/>
      <c r="D22" s="257"/>
      <c r="E22" s="257"/>
      <c r="F22" s="257"/>
      <c r="G22" s="257"/>
      <c r="H22" s="257"/>
      <c r="I22" s="257"/>
      <c r="J22" s="257"/>
      <c r="K22" s="258"/>
    </row>
    <row r="23" spans="2:11" ht="13.2" thickTop="1" x14ac:dyDescent="0.2"/>
    <row r="24" spans="2:11" ht="19.8" x14ac:dyDescent="0.2">
      <c r="B24" s="249" t="s">
        <v>1</v>
      </c>
      <c r="C24" s="250"/>
      <c r="D24" s="250"/>
      <c r="E24" s="250"/>
      <c r="F24" s="250"/>
      <c r="G24" s="250"/>
      <c r="H24" s="250"/>
      <c r="I24" s="250"/>
      <c r="J24" s="250"/>
      <c r="K24" s="251"/>
    </row>
    <row r="25" spans="2:11" x14ac:dyDescent="0.2">
      <c r="B25" s="236" t="s">
        <v>190</v>
      </c>
      <c r="C25" s="237"/>
      <c r="D25" s="237"/>
      <c r="E25" s="237"/>
      <c r="F25" s="237"/>
      <c r="G25" s="237"/>
      <c r="H25" s="237"/>
      <c r="I25" s="237"/>
      <c r="J25" s="237"/>
      <c r="K25" s="238"/>
    </row>
    <row r="26" spans="2:11" x14ac:dyDescent="0.2">
      <c r="B26" s="239"/>
      <c r="C26" s="237"/>
      <c r="D26" s="237"/>
      <c r="E26" s="237"/>
      <c r="F26" s="237"/>
      <c r="G26" s="237"/>
      <c r="H26" s="237"/>
      <c r="I26" s="237"/>
      <c r="J26" s="237"/>
      <c r="K26" s="238"/>
    </row>
    <row r="27" spans="2:11" x14ac:dyDescent="0.2">
      <c r="B27" s="239"/>
      <c r="C27" s="237"/>
      <c r="D27" s="237"/>
      <c r="E27" s="237"/>
      <c r="F27" s="237"/>
      <c r="G27" s="237"/>
      <c r="H27" s="237"/>
      <c r="I27" s="237"/>
      <c r="J27" s="237"/>
      <c r="K27" s="238"/>
    </row>
    <row r="28" spans="2:11" x14ac:dyDescent="0.2">
      <c r="B28" s="239"/>
      <c r="C28" s="237"/>
      <c r="D28" s="237"/>
      <c r="E28" s="237"/>
      <c r="F28" s="237"/>
      <c r="G28" s="237"/>
      <c r="H28" s="237"/>
      <c r="I28" s="237"/>
      <c r="J28" s="237"/>
      <c r="K28" s="238"/>
    </row>
    <row r="29" spans="2:11" x14ac:dyDescent="0.2">
      <c r="B29" s="239"/>
      <c r="C29" s="237"/>
      <c r="D29" s="237"/>
      <c r="E29" s="237"/>
      <c r="F29" s="237"/>
      <c r="G29" s="237"/>
      <c r="H29" s="237"/>
      <c r="I29" s="237"/>
      <c r="J29" s="237"/>
      <c r="K29" s="238"/>
    </row>
    <row r="30" spans="2:11" x14ac:dyDescent="0.2">
      <c r="B30" s="239"/>
      <c r="C30" s="237"/>
      <c r="D30" s="237"/>
      <c r="E30" s="237"/>
      <c r="F30" s="237"/>
      <c r="G30" s="237"/>
      <c r="H30" s="237"/>
      <c r="I30" s="237"/>
      <c r="J30" s="237"/>
      <c r="K30" s="238"/>
    </row>
    <row r="31" spans="2:11" x14ac:dyDescent="0.2">
      <c r="B31" s="239"/>
      <c r="C31" s="237"/>
      <c r="D31" s="237"/>
      <c r="E31" s="237"/>
      <c r="F31" s="237"/>
      <c r="G31" s="237"/>
      <c r="H31" s="237"/>
      <c r="I31" s="237"/>
      <c r="J31" s="237"/>
      <c r="K31" s="238"/>
    </row>
    <row r="32" spans="2:11" x14ac:dyDescent="0.2">
      <c r="B32" s="239"/>
      <c r="C32" s="237"/>
      <c r="D32" s="237"/>
      <c r="E32" s="237"/>
      <c r="F32" s="237"/>
      <c r="G32" s="237"/>
      <c r="H32" s="237"/>
      <c r="I32" s="237"/>
      <c r="J32" s="237"/>
      <c r="K32" s="238"/>
    </row>
    <row r="33" spans="2:11" x14ac:dyDescent="0.2">
      <c r="B33" s="239"/>
      <c r="C33" s="237"/>
      <c r="D33" s="237"/>
      <c r="E33" s="237"/>
      <c r="F33" s="237"/>
      <c r="G33" s="237"/>
      <c r="H33" s="237"/>
      <c r="I33" s="237"/>
      <c r="J33" s="237"/>
      <c r="K33" s="238"/>
    </row>
    <row r="34" spans="2:11" ht="13.2" thickBot="1" x14ac:dyDescent="0.25">
      <c r="B34" s="240"/>
      <c r="C34" s="241"/>
      <c r="D34" s="241"/>
      <c r="E34" s="241"/>
      <c r="F34" s="241"/>
      <c r="G34" s="241"/>
      <c r="H34" s="241"/>
      <c r="I34" s="241"/>
      <c r="J34" s="241"/>
      <c r="K34" s="242"/>
    </row>
    <row r="35" spans="2:11" ht="13.2" thickTop="1" x14ac:dyDescent="0.2"/>
    <row r="36" spans="2:11" ht="19.8" x14ac:dyDescent="0.2">
      <c r="B36" s="249" t="s">
        <v>2</v>
      </c>
      <c r="C36" s="250"/>
      <c r="D36" s="250"/>
      <c r="E36" s="250"/>
      <c r="F36" s="250"/>
      <c r="G36" s="250"/>
      <c r="H36" s="250"/>
      <c r="I36" s="250"/>
      <c r="J36" s="250"/>
      <c r="K36" s="251"/>
    </row>
    <row r="37" spans="2:11" ht="13.5" customHeight="1" x14ac:dyDescent="0.2">
      <c r="B37" s="243" t="s">
        <v>177</v>
      </c>
      <c r="C37" s="244"/>
      <c r="D37" s="244"/>
      <c r="E37" s="244"/>
      <c r="F37" s="244"/>
      <c r="G37" s="244"/>
      <c r="H37" s="244"/>
      <c r="I37" s="244"/>
      <c r="J37" s="244"/>
      <c r="K37" s="245"/>
    </row>
    <row r="38" spans="2:11" x14ac:dyDescent="0.2">
      <c r="B38" s="243"/>
      <c r="C38" s="244"/>
      <c r="D38" s="244"/>
      <c r="E38" s="244"/>
      <c r="F38" s="244"/>
      <c r="G38" s="244"/>
      <c r="H38" s="244"/>
      <c r="I38" s="244"/>
      <c r="J38" s="244"/>
      <c r="K38" s="245"/>
    </row>
    <row r="39" spans="2:11" x14ac:dyDescent="0.2">
      <c r="B39" s="243"/>
      <c r="C39" s="244"/>
      <c r="D39" s="244"/>
      <c r="E39" s="244"/>
      <c r="F39" s="244"/>
      <c r="G39" s="244"/>
      <c r="H39" s="244"/>
      <c r="I39" s="244"/>
      <c r="J39" s="244"/>
      <c r="K39" s="245"/>
    </row>
    <row r="40" spans="2:11" x14ac:dyDescent="0.2">
      <c r="B40" s="243"/>
      <c r="C40" s="244"/>
      <c r="D40" s="244"/>
      <c r="E40" s="244"/>
      <c r="F40" s="244"/>
      <c r="G40" s="244"/>
      <c r="H40" s="244"/>
      <c r="I40" s="244"/>
      <c r="J40" s="244"/>
      <c r="K40" s="245"/>
    </row>
    <row r="41" spans="2:11" x14ac:dyDescent="0.2">
      <c r="B41" s="243"/>
      <c r="C41" s="244"/>
      <c r="D41" s="244"/>
      <c r="E41" s="244"/>
      <c r="F41" s="244"/>
      <c r="G41" s="244"/>
      <c r="H41" s="244"/>
      <c r="I41" s="244"/>
      <c r="J41" s="244"/>
      <c r="K41" s="245"/>
    </row>
    <row r="42" spans="2:11" x14ac:dyDescent="0.2">
      <c r="B42" s="243"/>
      <c r="C42" s="244"/>
      <c r="D42" s="244"/>
      <c r="E42" s="244"/>
      <c r="F42" s="244"/>
      <c r="G42" s="244"/>
      <c r="H42" s="244"/>
      <c r="I42" s="244"/>
      <c r="J42" s="244"/>
      <c r="K42" s="245"/>
    </row>
    <row r="43" spans="2:11" x14ac:dyDescent="0.2">
      <c r="B43" s="243"/>
      <c r="C43" s="244"/>
      <c r="D43" s="244"/>
      <c r="E43" s="244"/>
      <c r="F43" s="244"/>
      <c r="G43" s="244"/>
      <c r="H43" s="244"/>
      <c r="I43" s="244"/>
      <c r="J43" s="244"/>
      <c r="K43" s="245"/>
    </row>
    <row r="44" spans="2:11" x14ac:dyDescent="0.2">
      <c r="B44" s="211" t="s">
        <v>191</v>
      </c>
      <c r="C44" s="212"/>
      <c r="D44" s="212"/>
      <c r="E44" s="212"/>
      <c r="F44" s="212"/>
      <c r="G44" s="212"/>
      <c r="H44" s="212"/>
      <c r="I44" s="212"/>
      <c r="J44" s="212"/>
      <c r="K44" s="213"/>
    </row>
    <row r="45" spans="2:11" x14ac:dyDescent="0.2">
      <c r="B45" s="214" t="s">
        <v>146</v>
      </c>
      <c r="C45" s="212"/>
      <c r="D45" s="212"/>
      <c r="E45" s="212"/>
      <c r="F45" s="212"/>
      <c r="G45" s="212"/>
      <c r="H45" s="212"/>
      <c r="I45" s="212"/>
      <c r="J45" s="212"/>
      <c r="K45" s="213"/>
    </row>
    <row r="46" spans="2:11" ht="24.6" customHeight="1" x14ac:dyDescent="0.2">
      <c r="B46" s="246" t="s">
        <v>147</v>
      </c>
      <c r="C46" s="247"/>
      <c r="D46" s="247"/>
      <c r="E46" s="247"/>
      <c r="F46" s="247"/>
      <c r="G46" s="247"/>
      <c r="H46" s="247"/>
      <c r="I46" s="247"/>
      <c r="J46" s="247"/>
      <c r="K46" s="248"/>
    </row>
    <row r="47" spans="2:11" x14ac:dyDescent="0.2">
      <c r="B47" s="214" t="s">
        <v>123</v>
      </c>
      <c r="C47" s="212"/>
      <c r="D47" s="212"/>
      <c r="E47" s="212"/>
      <c r="F47" s="212"/>
      <c r="G47" s="212"/>
      <c r="H47" s="212"/>
      <c r="I47" s="212"/>
      <c r="J47" s="212"/>
      <c r="K47" s="213"/>
    </row>
    <row r="48" spans="2:11" x14ac:dyDescent="0.2">
      <c r="B48" s="214" t="s">
        <v>124</v>
      </c>
      <c r="C48" s="212"/>
      <c r="D48" s="212"/>
      <c r="E48" s="212"/>
      <c r="F48" s="212"/>
      <c r="G48" s="212"/>
      <c r="H48" s="212"/>
      <c r="I48" s="212"/>
      <c r="J48" s="212"/>
      <c r="K48" s="213"/>
    </row>
    <row r="49" spans="2:11" x14ac:dyDescent="0.2">
      <c r="B49" s="214" t="s">
        <v>125</v>
      </c>
      <c r="C49" s="212"/>
      <c r="D49" s="212"/>
      <c r="E49" s="212"/>
      <c r="F49" s="212"/>
      <c r="G49" s="212"/>
      <c r="H49" s="212"/>
      <c r="I49" s="212"/>
      <c r="J49" s="212"/>
      <c r="K49" s="213"/>
    </row>
    <row r="50" spans="2:11" x14ac:dyDescent="0.2">
      <c r="B50" s="214" t="s">
        <v>126</v>
      </c>
      <c r="C50" s="212"/>
      <c r="D50" s="212"/>
      <c r="E50" s="212"/>
      <c r="F50" s="212"/>
      <c r="G50" s="212"/>
      <c r="H50" s="212"/>
      <c r="I50" s="212"/>
      <c r="J50" s="212"/>
      <c r="K50" s="213"/>
    </row>
    <row r="51" spans="2:11" x14ac:dyDescent="0.2">
      <c r="B51" s="211"/>
      <c r="C51" s="212"/>
      <c r="D51" s="212"/>
      <c r="E51" s="212"/>
      <c r="F51" s="212"/>
      <c r="G51" s="212"/>
      <c r="H51" s="212"/>
      <c r="I51" s="212"/>
      <c r="J51" s="212"/>
      <c r="K51" s="213"/>
    </row>
    <row r="52" spans="2:11" x14ac:dyDescent="0.2">
      <c r="B52" s="211" t="s">
        <v>148</v>
      </c>
      <c r="C52" s="212"/>
      <c r="D52" s="212"/>
      <c r="E52" s="212"/>
      <c r="F52" s="212"/>
      <c r="G52" s="212"/>
      <c r="H52" s="212"/>
      <c r="I52" s="212"/>
      <c r="J52" s="212"/>
      <c r="K52" s="213"/>
    </row>
    <row r="53" spans="2:11" ht="13.2" thickBot="1" x14ac:dyDescent="0.25">
      <c r="B53" s="215"/>
      <c r="C53" s="216"/>
      <c r="D53" s="216"/>
      <c r="E53" s="216"/>
      <c r="F53" s="216"/>
      <c r="G53" s="216"/>
      <c r="H53" s="216"/>
      <c r="I53" s="216"/>
      <c r="J53" s="216"/>
      <c r="K53" s="217"/>
    </row>
    <row r="54" spans="2:11" ht="13.2" thickTop="1" x14ac:dyDescent="0.2"/>
    <row r="55" spans="2:11" ht="19.8" x14ac:dyDescent="0.2">
      <c r="B55" s="249" t="s">
        <v>3</v>
      </c>
      <c r="C55" s="250"/>
      <c r="D55" s="250"/>
      <c r="E55" s="250"/>
      <c r="F55" s="250"/>
      <c r="G55" s="250"/>
      <c r="H55" s="250"/>
      <c r="I55" s="250"/>
      <c r="J55" s="250"/>
      <c r="K55" s="251"/>
    </row>
    <row r="56" spans="2:11" s="195" customFormat="1" x14ac:dyDescent="0.2">
      <c r="B56" s="196" t="s">
        <v>192</v>
      </c>
      <c r="C56" s="220"/>
      <c r="D56" s="220"/>
      <c r="E56" s="220"/>
      <c r="F56" s="220"/>
      <c r="G56" s="220"/>
      <c r="H56" s="220"/>
      <c r="I56" s="220"/>
      <c r="J56" s="220"/>
      <c r="K56" s="197"/>
    </row>
    <row r="57" spans="2:11" ht="58.8" customHeight="1" x14ac:dyDescent="0.2">
      <c r="B57" s="261" t="s">
        <v>196</v>
      </c>
      <c r="C57" s="262"/>
      <c r="D57" s="262"/>
      <c r="E57" s="262"/>
      <c r="F57" s="262"/>
      <c r="G57" s="262"/>
      <c r="H57" s="262"/>
      <c r="I57" s="262"/>
      <c r="J57" s="262"/>
      <c r="K57" s="263"/>
    </row>
    <row r="58" spans="2:11" ht="46.8" customHeight="1" x14ac:dyDescent="0.2">
      <c r="B58" s="261" t="s">
        <v>193</v>
      </c>
      <c r="C58" s="262"/>
      <c r="D58" s="262"/>
      <c r="E58" s="262"/>
      <c r="F58" s="262"/>
      <c r="G58" s="262"/>
      <c r="H58" s="262"/>
      <c r="I58" s="262"/>
      <c r="J58" s="262"/>
      <c r="K58" s="263"/>
    </row>
    <row r="59" spans="2:11" ht="21.6" customHeight="1" x14ac:dyDescent="0.2">
      <c r="B59" s="274" t="s">
        <v>194</v>
      </c>
      <c r="C59" s="275"/>
      <c r="D59" s="275"/>
      <c r="E59" s="275"/>
      <c r="F59" s="275"/>
      <c r="G59" s="275"/>
      <c r="H59" s="275"/>
      <c r="I59" s="275"/>
      <c r="J59" s="275"/>
      <c r="K59" s="276"/>
    </row>
    <row r="60" spans="2:11" x14ac:dyDescent="0.2">
      <c r="B60" s="268" t="s">
        <v>185</v>
      </c>
      <c r="C60" s="269"/>
      <c r="D60" s="269"/>
      <c r="E60" s="269"/>
      <c r="F60" s="269"/>
      <c r="G60" s="269"/>
      <c r="H60" s="269"/>
      <c r="I60" s="269"/>
      <c r="J60" s="269"/>
      <c r="K60" s="270"/>
    </row>
    <row r="61" spans="2:11" x14ac:dyDescent="0.2">
      <c r="B61" s="218"/>
      <c r="C61" s="209"/>
      <c r="D61" s="209"/>
      <c r="E61" s="209"/>
      <c r="F61" s="209"/>
      <c r="G61" s="209"/>
      <c r="H61" s="209"/>
      <c r="I61" s="209"/>
      <c r="J61" s="209"/>
      <c r="K61" s="210"/>
    </row>
    <row r="62" spans="2:11" x14ac:dyDescent="0.2">
      <c r="B62" s="211" t="s">
        <v>176</v>
      </c>
      <c r="C62" s="212"/>
      <c r="D62" s="212"/>
      <c r="E62" s="212"/>
      <c r="F62" s="212"/>
      <c r="G62" s="212"/>
      <c r="H62" s="212"/>
      <c r="I62" s="212"/>
      <c r="J62" s="212"/>
      <c r="K62" s="213"/>
    </row>
    <row r="63" spans="2:11" x14ac:dyDescent="0.2">
      <c r="B63" s="211" t="s">
        <v>175</v>
      </c>
      <c r="C63" s="212"/>
      <c r="D63" s="212"/>
      <c r="E63" s="212"/>
      <c r="F63" s="212"/>
      <c r="G63" s="212"/>
      <c r="H63" s="212"/>
      <c r="I63" s="212"/>
      <c r="J63" s="212"/>
      <c r="K63" s="213"/>
    </row>
    <row r="64" spans="2:11" x14ac:dyDescent="0.2">
      <c r="B64" s="211" t="s">
        <v>149</v>
      </c>
      <c r="C64" s="209"/>
      <c r="D64" s="209"/>
      <c r="E64" s="209"/>
      <c r="F64" s="209"/>
      <c r="G64" s="209"/>
      <c r="H64" s="209"/>
      <c r="I64" s="209"/>
      <c r="J64" s="209"/>
      <c r="K64" s="210"/>
    </row>
    <row r="65" spans="2:13" x14ac:dyDescent="0.2">
      <c r="B65" s="211"/>
      <c r="C65" s="209"/>
      <c r="D65" s="209"/>
      <c r="E65" s="209"/>
      <c r="F65" s="209"/>
      <c r="G65" s="209"/>
      <c r="H65" s="209"/>
      <c r="I65" s="209"/>
      <c r="J65" s="209"/>
      <c r="K65" s="210"/>
    </row>
    <row r="66" spans="2:13" ht="48" customHeight="1" thickBot="1" x14ac:dyDescent="0.25">
      <c r="B66" s="278" t="s">
        <v>205</v>
      </c>
      <c r="C66" s="279"/>
      <c r="D66" s="279"/>
      <c r="E66" s="279"/>
      <c r="F66" s="279"/>
      <c r="G66" s="279"/>
      <c r="H66" s="279"/>
      <c r="I66" s="279"/>
      <c r="J66" s="279"/>
      <c r="K66" s="280"/>
    </row>
    <row r="67" spans="2:13" ht="13.2" thickTop="1" x14ac:dyDescent="0.2"/>
    <row r="68" spans="2:13" ht="19.8" x14ac:dyDescent="0.2">
      <c r="B68" s="249" t="s">
        <v>4</v>
      </c>
      <c r="C68" s="250"/>
      <c r="D68" s="250"/>
      <c r="E68" s="250"/>
      <c r="F68" s="250"/>
      <c r="G68" s="250"/>
      <c r="H68" s="250"/>
      <c r="I68" s="250"/>
      <c r="J68" s="250"/>
      <c r="K68" s="251"/>
    </row>
    <row r="69" spans="2:13" x14ac:dyDescent="0.2">
      <c r="B69" s="271" t="s">
        <v>179</v>
      </c>
      <c r="C69" s="272"/>
      <c r="D69" s="272"/>
      <c r="E69" s="272"/>
      <c r="F69" s="272"/>
      <c r="G69" s="272"/>
      <c r="H69" s="272"/>
      <c r="I69" s="272"/>
      <c r="J69" s="272"/>
      <c r="K69" s="273"/>
    </row>
    <row r="70" spans="2:13" x14ac:dyDescent="0.2">
      <c r="B70" s="221" t="s">
        <v>180</v>
      </c>
      <c r="C70" s="219"/>
      <c r="D70" s="219"/>
      <c r="E70" s="219"/>
      <c r="F70" s="219"/>
      <c r="G70" s="219"/>
      <c r="H70" s="219"/>
      <c r="I70" s="219"/>
      <c r="J70" s="219"/>
      <c r="K70" s="210"/>
    </row>
    <row r="71" spans="2:13" ht="24.6" customHeight="1" x14ac:dyDescent="0.2">
      <c r="B71" s="264" t="s">
        <v>181</v>
      </c>
      <c r="C71" s="254"/>
      <c r="D71" s="254"/>
      <c r="E71" s="254"/>
      <c r="F71" s="254"/>
      <c r="G71" s="254"/>
      <c r="H71" s="254"/>
      <c r="I71" s="254"/>
      <c r="J71" s="254"/>
      <c r="K71" s="255"/>
    </row>
    <row r="72" spans="2:13" x14ac:dyDescent="0.2">
      <c r="B72" s="224" t="s">
        <v>197</v>
      </c>
      <c r="C72" s="219"/>
      <c r="D72" s="219"/>
      <c r="E72" s="219"/>
      <c r="F72" s="219"/>
      <c r="G72" s="219"/>
      <c r="H72" s="219"/>
      <c r="I72" s="219"/>
      <c r="J72" s="219"/>
      <c r="K72" s="210"/>
    </row>
    <row r="73" spans="2:13" ht="24.6" customHeight="1" x14ac:dyDescent="0.2">
      <c r="B73" s="265" t="s">
        <v>182</v>
      </c>
      <c r="C73" s="266"/>
      <c r="D73" s="266"/>
      <c r="E73" s="266"/>
      <c r="F73" s="266"/>
      <c r="G73" s="266"/>
      <c r="H73" s="266"/>
      <c r="I73" s="266"/>
      <c r="J73" s="266"/>
      <c r="K73" s="267"/>
    </row>
    <row r="74" spans="2:13" x14ac:dyDescent="0.2">
      <c r="B74" s="222"/>
      <c r="C74" s="219"/>
      <c r="D74" s="219"/>
      <c r="E74" s="219"/>
      <c r="F74" s="219"/>
      <c r="G74" s="219"/>
      <c r="H74" s="219"/>
      <c r="I74" s="219"/>
      <c r="J74" s="219"/>
      <c r="K74" s="210"/>
    </row>
    <row r="75" spans="2:13" x14ac:dyDescent="0.2">
      <c r="B75" s="222" t="s">
        <v>150</v>
      </c>
      <c r="C75" s="219"/>
      <c r="D75" s="219"/>
      <c r="E75" s="219"/>
      <c r="F75" s="219"/>
      <c r="G75" s="219"/>
      <c r="H75" s="219"/>
      <c r="I75" s="219"/>
      <c r="J75" s="219"/>
      <c r="K75" s="210"/>
    </row>
    <row r="76" spans="2:13" x14ac:dyDescent="0.2">
      <c r="B76" s="223" t="s">
        <v>151</v>
      </c>
      <c r="C76" s="219"/>
      <c r="D76" s="219"/>
      <c r="E76" s="219"/>
      <c r="F76" s="219"/>
      <c r="G76" s="219"/>
      <c r="H76" s="219"/>
      <c r="I76" s="219"/>
      <c r="J76" s="219"/>
      <c r="K76" s="210"/>
    </row>
    <row r="77" spans="2:13" ht="24.6" customHeight="1" x14ac:dyDescent="0.2">
      <c r="B77" s="253" t="s">
        <v>183</v>
      </c>
      <c r="C77" s="254"/>
      <c r="D77" s="254"/>
      <c r="E77" s="254"/>
      <c r="F77" s="254"/>
      <c r="G77" s="254"/>
      <c r="H77" s="254"/>
      <c r="I77" s="254"/>
      <c r="J77" s="254"/>
      <c r="K77" s="255"/>
    </row>
    <row r="78" spans="2:13" x14ac:dyDescent="0.2">
      <c r="B78" s="208"/>
      <c r="C78" s="219"/>
      <c r="D78" s="219"/>
      <c r="E78" s="219"/>
      <c r="F78" s="219"/>
      <c r="G78" s="219"/>
      <c r="H78" s="219"/>
      <c r="I78" s="219"/>
      <c r="J78" s="219"/>
      <c r="K78" s="210"/>
    </row>
    <row r="79" spans="2:13" ht="46.8" customHeight="1" x14ac:dyDescent="0.2">
      <c r="B79" s="243" t="s">
        <v>184</v>
      </c>
      <c r="C79" s="269"/>
      <c r="D79" s="269"/>
      <c r="E79" s="269"/>
      <c r="F79" s="269"/>
      <c r="G79" s="269"/>
      <c r="H79" s="269"/>
      <c r="I79" s="269"/>
      <c r="J79" s="269"/>
      <c r="K79" s="270"/>
      <c r="M79" s="193"/>
    </row>
    <row r="80" spans="2:13" ht="13.2" thickBot="1" x14ac:dyDescent="0.25">
      <c r="B80" s="192"/>
      <c r="C80" s="182"/>
      <c r="D80" s="182"/>
      <c r="E80" s="182"/>
      <c r="F80" s="182"/>
      <c r="G80" s="182"/>
      <c r="H80" s="182"/>
      <c r="I80" s="182"/>
      <c r="J80" s="182"/>
      <c r="K80" s="183"/>
    </row>
    <row r="81" spans="2:11" ht="13.2" thickTop="1" x14ac:dyDescent="0.2"/>
    <row r="82" spans="2:11" ht="19.8" x14ac:dyDescent="0.2">
      <c r="B82" s="249" t="s">
        <v>5</v>
      </c>
      <c r="C82" s="250"/>
      <c r="D82" s="250"/>
      <c r="E82" s="250"/>
      <c r="F82" s="250"/>
      <c r="G82" s="250"/>
      <c r="H82" s="250"/>
      <c r="I82" s="250"/>
      <c r="J82" s="250"/>
      <c r="K82" s="251"/>
    </row>
    <row r="83" spans="2:11" x14ac:dyDescent="0.2">
      <c r="B83" s="221" t="s">
        <v>152</v>
      </c>
      <c r="C83" s="219"/>
      <c r="D83" s="219"/>
      <c r="E83" s="219"/>
      <c r="F83" s="219"/>
      <c r="G83" s="219"/>
      <c r="H83" s="219"/>
      <c r="I83" s="219"/>
      <c r="J83" s="219"/>
      <c r="K83" s="210"/>
    </row>
    <row r="84" spans="2:11" x14ac:dyDescent="0.2">
      <c r="B84" s="221" t="s">
        <v>153</v>
      </c>
      <c r="C84" s="219"/>
      <c r="D84" s="219"/>
      <c r="E84" s="219"/>
      <c r="F84" s="219"/>
      <c r="G84" s="219"/>
      <c r="H84" s="219"/>
      <c r="I84" s="219"/>
      <c r="J84" s="219"/>
      <c r="K84" s="210"/>
    </row>
    <row r="85" spans="2:11" x14ac:dyDescent="0.2">
      <c r="B85" s="221" t="s">
        <v>186</v>
      </c>
      <c r="C85" s="219"/>
      <c r="D85" s="219"/>
      <c r="E85" s="219"/>
      <c r="F85" s="219"/>
      <c r="G85" s="219"/>
      <c r="H85" s="219"/>
      <c r="I85" s="219"/>
      <c r="J85" s="219"/>
      <c r="K85" s="210"/>
    </row>
    <row r="86" spans="2:11" ht="45" customHeight="1" x14ac:dyDescent="0.2">
      <c r="B86" s="264" t="s">
        <v>154</v>
      </c>
      <c r="C86" s="281"/>
      <c r="D86" s="281"/>
      <c r="E86" s="281"/>
      <c r="F86" s="281"/>
      <c r="G86" s="281"/>
      <c r="H86" s="281"/>
      <c r="I86" s="281"/>
      <c r="J86" s="281"/>
      <c r="K86" s="282"/>
    </row>
    <row r="87" spans="2:11" x14ac:dyDescent="0.2">
      <c r="B87" s="233" t="s">
        <v>204</v>
      </c>
      <c r="C87" s="219"/>
      <c r="D87" s="219"/>
      <c r="E87" s="219"/>
      <c r="F87" s="219"/>
      <c r="G87" s="219"/>
      <c r="H87" s="219"/>
      <c r="I87" s="219"/>
      <c r="J87" s="219"/>
      <c r="K87" s="210"/>
    </row>
    <row r="88" spans="2:11" x14ac:dyDescent="0.2">
      <c r="B88" s="231" t="s">
        <v>200</v>
      </c>
      <c r="C88" s="191"/>
      <c r="D88" s="219"/>
      <c r="E88" s="219"/>
      <c r="F88" s="219"/>
      <c r="G88" s="219"/>
      <c r="H88" s="219"/>
      <c r="I88" s="219"/>
      <c r="J88" s="219"/>
      <c r="K88" s="210"/>
    </row>
    <row r="89" spans="2:11" x14ac:dyDescent="0.2">
      <c r="B89" s="231" t="s">
        <v>201</v>
      </c>
      <c r="C89" s="191"/>
      <c r="D89" s="219"/>
      <c r="E89" s="219"/>
      <c r="F89" s="219"/>
      <c r="G89" s="219"/>
      <c r="H89" s="219"/>
      <c r="I89" s="219"/>
      <c r="J89" s="219"/>
      <c r="K89" s="210"/>
    </row>
    <row r="90" spans="2:11" ht="12.45" customHeight="1" thickBot="1" x14ac:dyDescent="0.25">
      <c r="B90" s="192"/>
      <c r="C90" s="182"/>
      <c r="D90" s="182"/>
      <c r="E90" s="182"/>
      <c r="F90" s="182"/>
      <c r="G90" s="182"/>
      <c r="H90" s="182"/>
      <c r="I90" s="182"/>
      <c r="J90" s="182"/>
      <c r="K90" s="183"/>
    </row>
    <row r="91" spans="2:11" ht="13.2" thickTop="1" x14ac:dyDescent="0.2"/>
    <row r="92" spans="2:11" ht="19.8" x14ac:dyDescent="0.2">
      <c r="B92" s="249" t="s">
        <v>6</v>
      </c>
      <c r="C92" s="250"/>
      <c r="D92" s="250"/>
      <c r="E92" s="250"/>
      <c r="F92" s="250"/>
      <c r="G92" s="250"/>
      <c r="H92" s="250"/>
      <c r="I92" s="250"/>
      <c r="J92" s="250"/>
      <c r="K92" s="251"/>
    </row>
    <row r="93" spans="2:11" x14ac:dyDescent="0.2">
      <c r="B93" s="225" t="s">
        <v>206</v>
      </c>
      <c r="C93" s="226"/>
      <c r="D93" s="226"/>
      <c r="E93" s="226"/>
      <c r="F93" s="226"/>
      <c r="G93" s="226"/>
      <c r="H93" s="226"/>
      <c r="I93" s="226"/>
      <c r="J93" s="226"/>
      <c r="K93" s="227"/>
    </row>
    <row r="94" spans="2:11" x14ac:dyDescent="0.2">
      <c r="B94" s="225" t="s">
        <v>207</v>
      </c>
      <c r="C94" s="226"/>
      <c r="D94" s="226"/>
      <c r="E94" s="226"/>
      <c r="F94" s="226"/>
      <c r="G94" s="226"/>
      <c r="H94" s="226"/>
      <c r="I94" s="226"/>
      <c r="J94" s="226"/>
      <c r="K94" s="227"/>
    </row>
    <row r="95" spans="2:11" x14ac:dyDescent="0.2">
      <c r="B95" s="225" t="s">
        <v>208</v>
      </c>
      <c r="C95" s="226"/>
      <c r="D95" s="226"/>
      <c r="E95" s="226"/>
      <c r="F95" s="226"/>
      <c r="G95" s="226"/>
      <c r="H95" s="226"/>
      <c r="I95" s="226"/>
      <c r="J95" s="226"/>
      <c r="K95" s="227"/>
    </row>
    <row r="96" spans="2:11" ht="13.2" thickBot="1" x14ac:dyDescent="0.25">
      <c r="B96" s="228"/>
      <c r="C96" s="229"/>
      <c r="D96" s="229"/>
      <c r="E96" s="229"/>
      <c r="F96" s="229"/>
      <c r="G96" s="229"/>
      <c r="H96" s="229"/>
      <c r="I96" s="229"/>
      <c r="J96" s="229"/>
      <c r="K96" s="230"/>
    </row>
    <row r="97" spans="2:11" ht="13.2" thickTop="1" x14ac:dyDescent="0.2"/>
    <row r="101" spans="2:11" x14ac:dyDescent="0.2">
      <c r="B101" s="277"/>
      <c r="C101" s="277"/>
      <c r="D101" s="277"/>
      <c r="E101" s="277"/>
      <c r="F101" s="277"/>
      <c r="G101" s="277"/>
      <c r="H101" s="277"/>
      <c r="I101" s="277"/>
      <c r="J101" s="277"/>
      <c r="K101" s="277"/>
    </row>
    <row r="103" spans="2:11" ht="35.1" customHeight="1" x14ac:dyDescent="0.2">
      <c r="B103" s="277"/>
      <c r="C103" s="277"/>
      <c r="D103" s="277"/>
      <c r="E103" s="277"/>
      <c r="F103" s="277"/>
      <c r="G103" s="277"/>
      <c r="H103" s="277"/>
      <c r="I103" s="277"/>
      <c r="J103" s="277"/>
      <c r="K103" s="277"/>
    </row>
    <row r="104" spans="2:11" ht="37.950000000000003" customHeight="1" x14ac:dyDescent="0.2">
      <c r="B104" s="277"/>
      <c r="C104" s="277"/>
      <c r="D104" s="277"/>
      <c r="E104" s="277"/>
      <c r="F104" s="277"/>
      <c r="G104" s="277"/>
      <c r="H104" s="277"/>
      <c r="I104" s="277"/>
      <c r="J104" s="277"/>
      <c r="K104" s="277"/>
    </row>
    <row r="106" spans="2:11" ht="57.6" customHeight="1" x14ac:dyDescent="0.2">
      <c r="B106" s="277"/>
      <c r="C106" s="277"/>
      <c r="D106" s="277"/>
      <c r="E106" s="277"/>
      <c r="F106" s="277"/>
      <c r="G106" s="277"/>
      <c r="H106" s="277"/>
      <c r="I106" s="277"/>
      <c r="J106" s="277"/>
      <c r="K106" s="277"/>
    </row>
    <row r="108" spans="2:11" ht="29.4" customHeight="1" x14ac:dyDescent="0.2">
      <c r="B108" s="277"/>
      <c r="C108" s="277"/>
      <c r="D108" s="277"/>
      <c r="E108" s="277"/>
      <c r="F108" s="277"/>
      <c r="G108" s="277"/>
      <c r="H108" s="277"/>
      <c r="I108" s="277"/>
      <c r="J108" s="277"/>
      <c r="K108" s="277"/>
    </row>
    <row r="110" spans="2:11" ht="36.6" customHeight="1" x14ac:dyDescent="0.2">
      <c r="B110" s="277"/>
      <c r="C110" s="277"/>
      <c r="D110" s="277"/>
      <c r="E110" s="277"/>
      <c r="F110" s="277"/>
      <c r="G110" s="277"/>
      <c r="H110" s="277"/>
      <c r="I110" s="277"/>
      <c r="J110" s="277"/>
      <c r="K110" s="277"/>
    </row>
  </sheetData>
  <mergeCells count="31">
    <mergeCell ref="B110:K110"/>
    <mergeCell ref="B66:K66"/>
    <mergeCell ref="B101:K101"/>
    <mergeCell ref="B103:K103"/>
    <mergeCell ref="B104:K104"/>
    <mergeCell ref="B106:K106"/>
    <mergeCell ref="B108:K108"/>
    <mergeCell ref="B92:K92"/>
    <mergeCell ref="B79:K79"/>
    <mergeCell ref="B82:K82"/>
    <mergeCell ref="B86:K86"/>
    <mergeCell ref="B57:K57"/>
    <mergeCell ref="B68:K68"/>
    <mergeCell ref="B71:K71"/>
    <mergeCell ref="B73:K73"/>
    <mergeCell ref="B77:K77"/>
    <mergeCell ref="B60:K60"/>
    <mergeCell ref="B69:K69"/>
    <mergeCell ref="B58:K58"/>
    <mergeCell ref="B59:K59"/>
    <mergeCell ref="B2:K2"/>
    <mergeCell ref="B18:K18"/>
    <mergeCell ref="B19:K22"/>
    <mergeCell ref="B24:K24"/>
    <mergeCell ref="C13:K15"/>
    <mergeCell ref="B4:K4"/>
    <mergeCell ref="B25:K34"/>
    <mergeCell ref="B37:K43"/>
    <mergeCell ref="B46:K46"/>
    <mergeCell ref="B36:K36"/>
    <mergeCell ref="B55:K55"/>
  </mergeCells>
  <phoneticPr fontId="4" type="noConversion"/>
  <hyperlinks>
    <hyperlink ref="B89" r:id="rId1" display="- Hospidiag : https://hospidiag.atih.sante.fr" xr:uid="{4671E74D-D841-4510-B8D5-B77A6DD7CA8F}"/>
    <hyperlink ref="B88" r:id="rId2" xr:uid="{5A0B390C-A1BF-45E3-A4FA-DB87BE83B434}"/>
    <hyperlink ref="B87" r:id="rId3" xr:uid="{D02CB365-3929-4C52-823C-C28A0B77B6C8}"/>
  </hyperlinks>
  <pageMargins left="0.7" right="0.7" top="0.75" bottom="0.75" header="0.3" footer="0.3"/>
  <pageSetup paperSize="9" scale="68"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0809-F468-405F-B33A-91C31E4F6F13}">
  <sheetPr codeName="Feuil5">
    <pageSetUpPr fitToPage="1"/>
  </sheetPr>
  <dimension ref="A2:K154"/>
  <sheetViews>
    <sheetView showGridLines="0" zoomScale="90" zoomScaleNormal="90" workbookViewId="0">
      <selection activeCell="C26" sqref="C26"/>
    </sheetView>
  </sheetViews>
  <sheetFormatPr baseColWidth="10" defaultColWidth="10.36328125" defaultRowHeight="11.4" x14ac:dyDescent="0.2"/>
  <cols>
    <col min="1" max="1" width="33.453125" style="3" bestFit="1" customWidth="1"/>
    <col min="2" max="2" width="3.36328125" style="2" bestFit="1" customWidth="1"/>
    <col min="3" max="3" width="49.08984375" style="3" bestFit="1" customWidth="1"/>
    <col min="4" max="4" width="12.453125" style="3" bestFit="1" customWidth="1"/>
    <col min="5" max="7" width="11.08984375" style="4" customWidth="1"/>
    <col min="8" max="9" width="11.6328125" style="3" bestFit="1" customWidth="1"/>
    <col min="10" max="10" width="11.6328125" style="3" customWidth="1"/>
    <col min="11" max="11" width="12.90625" style="3" customWidth="1"/>
    <col min="12" max="16384" width="10.36328125" style="3"/>
  </cols>
  <sheetData>
    <row r="2" spans="1:11" ht="12.6" x14ac:dyDescent="0.2">
      <c r="A2" s="1" t="s">
        <v>28</v>
      </c>
    </row>
    <row r="3" spans="1:11" s="134" customFormat="1" x14ac:dyDescent="0.2">
      <c r="B3" s="2"/>
      <c r="D3" s="17"/>
      <c r="E3" s="17"/>
      <c r="F3" s="17"/>
      <c r="G3" s="17"/>
      <c r="H3" s="17"/>
      <c r="I3" s="17"/>
      <c r="J3" s="17"/>
      <c r="K3" s="5"/>
    </row>
    <row r="4" spans="1:11" s="134" customFormat="1" ht="34.200000000000003" x14ac:dyDescent="0.2">
      <c r="A4" s="6" t="s">
        <v>29</v>
      </c>
      <c r="B4" s="7"/>
      <c r="C4" s="8"/>
      <c r="D4" s="140" t="s">
        <v>139</v>
      </c>
      <c r="E4" s="140" t="s">
        <v>140</v>
      </c>
      <c r="F4" s="140" t="s">
        <v>141</v>
      </c>
      <c r="G4" s="140" t="s">
        <v>136</v>
      </c>
      <c r="H4" s="140" t="s">
        <v>138</v>
      </c>
      <c r="I4" s="140" t="s">
        <v>138</v>
      </c>
      <c r="J4" s="140"/>
      <c r="K4" s="5" t="s">
        <v>174</v>
      </c>
    </row>
    <row r="5" spans="1:11" x14ac:dyDescent="0.2">
      <c r="A5" s="9"/>
      <c r="B5" s="7">
        <v>2</v>
      </c>
      <c r="C5" s="10" t="s">
        <v>30</v>
      </c>
      <c r="D5" s="11">
        <f>SUM(D6,D10)</f>
        <v>1918709.46</v>
      </c>
      <c r="E5" s="12">
        <f t="shared" ref="E5:G5" si="0">SUM(E6,E10)</f>
        <v>521498.11</v>
      </c>
      <c r="F5" s="12">
        <f t="shared" si="0"/>
        <v>1170409.8999999999</v>
      </c>
      <c r="G5" s="12">
        <f t="shared" si="0"/>
        <v>0</v>
      </c>
      <c r="H5" s="11">
        <f t="shared" ref="H5:I5" si="1">SUM(H6,H10)</f>
        <v>0</v>
      </c>
      <c r="I5" s="11">
        <f t="shared" si="1"/>
        <v>0</v>
      </c>
      <c r="J5" s="11"/>
      <c r="K5" s="11">
        <f t="shared" ref="K5" si="2">SUM(K6,K10)</f>
        <v>3610617.47</v>
      </c>
    </row>
    <row r="6" spans="1:11" x14ac:dyDescent="0.2">
      <c r="A6" s="9"/>
      <c r="B6" s="7">
        <v>3</v>
      </c>
      <c r="C6" s="13" t="s">
        <v>31</v>
      </c>
      <c r="D6" s="14">
        <f>SUM(D7:D9)</f>
        <v>349400.35</v>
      </c>
      <c r="E6" s="15">
        <f t="shared" ref="E6:G6" si="3">SUM(E7:E9)</f>
        <v>446391.32</v>
      </c>
      <c r="F6" s="15">
        <f t="shared" si="3"/>
        <v>407350.87</v>
      </c>
      <c r="G6" s="15">
        <f t="shared" si="3"/>
        <v>0</v>
      </c>
      <c r="H6" s="14">
        <f t="shared" ref="H6:I6" si="4">SUM(H7:H9)</f>
        <v>0</v>
      </c>
      <c r="I6" s="14">
        <f t="shared" si="4"/>
        <v>0</v>
      </c>
      <c r="J6" s="14"/>
      <c r="K6" s="14">
        <f t="shared" ref="K6" si="5">SUM(K7:K9)</f>
        <v>1203142.54</v>
      </c>
    </row>
    <row r="7" spans="1:11" x14ac:dyDescent="0.2">
      <c r="A7" s="9" t="s">
        <v>32</v>
      </c>
      <c r="B7" s="7">
        <v>4</v>
      </c>
      <c r="C7" s="16" t="s">
        <v>33</v>
      </c>
      <c r="D7" s="17"/>
      <c r="E7" s="18"/>
      <c r="F7" s="18">
        <v>2925</v>
      </c>
      <c r="G7" s="18"/>
      <c r="H7" s="17"/>
      <c r="I7" s="17"/>
      <c r="J7" s="17"/>
      <c r="K7" s="17">
        <f>SUM(D7:I7)</f>
        <v>2925</v>
      </c>
    </row>
    <row r="8" spans="1:11" x14ac:dyDescent="0.2">
      <c r="A8" s="9" t="s">
        <v>32</v>
      </c>
      <c r="B8" s="7">
        <v>5</v>
      </c>
      <c r="C8" s="16" t="s">
        <v>34</v>
      </c>
      <c r="D8" s="17">
        <v>349400.35</v>
      </c>
      <c r="E8" s="18">
        <v>446391.32</v>
      </c>
      <c r="F8" s="18">
        <v>404425.87</v>
      </c>
      <c r="G8" s="18"/>
      <c r="H8" s="17"/>
      <c r="I8" s="17"/>
      <c r="J8" s="17"/>
      <c r="K8" s="17">
        <f>SUM(D8:I8)</f>
        <v>1200217.54</v>
      </c>
    </row>
    <row r="9" spans="1:11" x14ac:dyDescent="0.2">
      <c r="A9" s="9" t="s">
        <v>32</v>
      </c>
      <c r="B9" s="7">
        <v>6</v>
      </c>
      <c r="C9" s="16" t="s">
        <v>35</v>
      </c>
      <c r="D9" s="17"/>
      <c r="E9" s="18"/>
      <c r="F9" s="18"/>
      <c r="G9" s="18"/>
      <c r="H9" s="17"/>
      <c r="I9" s="17"/>
      <c r="J9" s="17"/>
      <c r="K9" s="17">
        <f>SUM(D9:I9)</f>
        <v>0</v>
      </c>
    </row>
    <row r="10" spans="1:11" x14ac:dyDescent="0.2">
      <c r="A10" s="9"/>
      <c r="B10" s="7">
        <v>7</v>
      </c>
      <c r="C10" s="13" t="s">
        <v>36</v>
      </c>
      <c r="D10" s="14">
        <f>SUM(D11:D14)</f>
        <v>1569309.11</v>
      </c>
      <c r="E10" s="15">
        <f t="shared" ref="E10:G10" si="6">SUM(E11:E14)</f>
        <v>75106.789999999994</v>
      </c>
      <c r="F10" s="15">
        <f t="shared" si="6"/>
        <v>763059.03</v>
      </c>
      <c r="G10" s="15">
        <f t="shared" si="6"/>
        <v>0</v>
      </c>
      <c r="H10" s="14">
        <f t="shared" ref="H10:I10" si="7">SUM(H11:H14)</f>
        <v>0</v>
      </c>
      <c r="I10" s="14">
        <f t="shared" si="7"/>
        <v>0</v>
      </c>
      <c r="J10" s="14"/>
      <c r="K10" s="14">
        <f t="shared" ref="K10" si="8">SUM(K11:K14)</f>
        <v>2407474.9300000002</v>
      </c>
    </row>
    <row r="11" spans="1:11" x14ac:dyDescent="0.2">
      <c r="A11" s="9" t="s">
        <v>32</v>
      </c>
      <c r="B11" s="7">
        <v>8</v>
      </c>
      <c r="C11" s="16" t="s">
        <v>37</v>
      </c>
      <c r="D11" s="17"/>
      <c r="E11" s="18"/>
      <c r="F11" s="18">
        <v>5071.7700000000004</v>
      </c>
      <c r="G11" s="18"/>
      <c r="H11" s="17"/>
      <c r="I11" s="17"/>
      <c r="J11" s="17"/>
      <c r="K11" s="17">
        <f>SUM(D11:I11)</f>
        <v>5071.7700000000004</v>
      </c>
    </row>
    <row r="12" spans="1:11" x14ac:dyDescent="0.2">
      <c r="A12" s="9" t="s">
        <v>32</v>
      </c>
      <c r="B12" s="7">
        <v>9</v>
      </c>
      <c r="C12" s="16" t="s">
        <v>38</v>
      </c>
      <c r="D12" s="17">
        <v>237953.49</v>
      </c>
      <c r="E12" s="18">
        <v>0</v>
      </c>
      <c r="F12" s="18">
        <v>757987.26</v>
      </c>
      <c r="G12" s="18"/>
      <c r="H12" s="17"/>
      <c r="I12" s="17"/>
      <c r="J12" s="17"/>
      <c r="K12" s="17">
        <f>SUM(D12:I12)</f>
        <v>995940.75</v>
      </c>
    </row>
    <row r="13" spans="1:11" x14ac:dyDescent="0.2">
      <c r="A13" s="9" t="s">
        <v>32</v>
      </c>
      <c r="B13" s="7">
        <v>10</v>
      </c>
      <c r="C13" s="16" t="s">
        <v>39</v>
      </c>
      <c r="D13" s="17"/>
      <c r="E13" s="18"/>
      <c r="F13" s="18"/>
      <c r="G13" s="18"/>
      <c r="H13" s="17"/>
      <c r="I13" s="17"/>
      <c r="J13" s="17"/>
      <c r="K13" s="17">
        <f>SUM(D13:I13)</f>
        <v>0</v>
      </c>
    </row>
    <row r="14" spans="1:11" x14ac:dyDescent="0.2">
      <c r="A14" s="9" t="s">
        <v>32</v>
      </c>
      <c r="B14" s="7">
        <v>11</v>
      </c>
      <c r="C14" s="16" t="s">
        <v>40</v>
      </c>
      <c r="D14" s="17">
        <v>1331355.6200000001</v>
      </c>
      <c r="E14" s="18">
        <v>75106.789999999994</v>
      </c>
      <c r="F14" s="18"/>
      <c r="G14" s="18"/>
      <c r="H14" s="17"/>
      <c r="I14" s="17"/>
      <c r="J14" s="17"/>
      <c r="K14" s="17">
        <f>SUM(D14:I14)</f>
        <v>1406462.4100000001</v>
      </c>
    </row>
    <row r="15" spans="1:11" x14ac:dyDescent="0.2">
      <c r="A15" s="9"/>
      <c r="B15" s="7">
        <v>12</v>
      </c>
      <c r="C15" s="19" t="s">
        <v>41</v>
      </c>
      <c r="D15" s="14">
        <f>SUM(D12,D14)</f>
        <v>1569309.11</v>
      </c>
      <c r="E15" s="15">
        <f t="shared" ref="E15:G15" si="9">SUM(E12,E14)</f>
        <v>75106.789999999994</v>
      </c>
      <c r="F15" s="15">
        <f t="shared" si="9"/>
        <v>757987.26</v>
      </c>
      <c r="G15" s="15">
        <f t="shared" si="9"/>
        <v>0</v>
      </c>
      <c r="H15" s="14">
        <f t="shared" ref="H15:I15" si="10">SUM(H12,H14)</f>
        <v>0</v>
      </c>
      <c r="I15" s="14">
        <f t="shared" si="10"/>
        <v>0</v>
      </c>
      <c r="J15" s="14"/>
      <c r="K15" s="14">
        <f t="shared" ref="K15" si="11">SUM(K12,K14)</f>
        <v>2402403.16</v>
      </c>
    </row>
    <row r="16" spans="1:11" x14ac:dyDescent="0.2">
      <c r="A16" s="9"/>
      <c r="B16" s="7">
        <v>13</v>
      </c>
      <c r="C16" s="19" t="s">
        <v>42</v>
      </c>
      <c r="D16" s="14">
        <f>SUM(D11,D13)</f>
        <v>0</v>
      </c>
      <c r="E16" s="15">
        <f t="shared" ref="E16:G16" si="12">SUM(E11,E13)</f>
        <v>0</v>
      </c>
      <c r="F16" s="15">
        <f t="shared" si="12"/>
        <v>5071.7700000000004</v>
      </c>
      <c r="G16" s="15">
        <f t="shared" si="12"/>
        <v>0</v>
      </c>
      <c r="H16" s="14">
        <f t="shared" ref="H16:I16" si="13">SUM(H11,H13)</f>
        <v>0</v>
      </c>
      <c r="I16" s="14">
        <f t="shared" si="13"/>
        <v>0</v>
      </c>
      <c r="J16" s="14"/>
      <c r="K16" s="14">
        <f t="shared" ref="K16" si="14">SUM(K11,K13)</f>
        <v>5071.7700000000004</v>
      </c>
    </row>
    <row r="17" spans="1:11" x14ac:dyDescent="0.2">
      <c r="A17" s="9" t="s">
        <v>32</v>
      </c>
      <c r="B17" s="7">
        <v>14</v>
      </c>
      <c r="C17" s="10" t="s">
        <v>43</v>
      </c>
      <c r="D17" s="17">
        <v>909425.97</v>
      </c>
      <c r="E17" s="18">
        <v>86768.08</v>
      </c>
      <c r="F17" s="18">
        <v>188000.96</v>
      </c>
      <c r="G17" s="18"/>
      <c r="H17" s="17"/>
      <c r="I17" s="17"/>
      <c r="J17" s="17"/>
      <c r="K17" s="17">
        <f t="shared" ref="K17:K22" si="15">SUM(D17:I17)</f>
        <v>1184195.01</v>
      </c>
    </row>
    <row r="18" spans="1:11" x14ac:dyDescent="0.2">
      <c r="A18" s="9" t="s">
        <v>32</v>
      </c>
      <c r="B18" s="7">
        <v>15</v>
      </c>
      <c r="C18" s="10" t="s">
        <v>44</v>
      </c>
      <c r="D18" s="17">
        <v>1032.72</v>
      </c>
      <c r="E18" s="18">
        <v>812.45</v>
      </c>
      <c r="F18" s="18">
        <v>60.37</v>
      </c>
      <c r="G18" s="18"/>
      <c r="H18" s="17"/>
      <c r="I18" s="17"/>
      <c r="J18" s="17"/>
      <c r="K18" s="17">
        <f t="shared" si="15"/>
        <v>1905.54</v>
      </c>
    </row>
    <row r="19" spans="1:11" ht="22.8" x14ac:dyDescent="0.2">
      <c r="A19" s="9" t="s">
        <v>32</v>
      </c>
      <c r="B19" s="7">
        <v>16</v>
      </c>
      <c r="C19" s="10" t="s">
        <v>45</v>
      </c>
      <c r="D19" s="17">
        <v>182271.81</v>
      </c>
      <c r="E19" s="18">
        <v>4926.51</v>
      </c>
      <c r="F19" s="18">
        <v>87586.37</v>
      </c>
      <c r="G19" s="18"/>
      <c r="H19" s="17"/>
      <c r="I19" s="17"/>
      <c r="J19" s="17"/>
      <c r="K19" s="17">
        <f t="shared" si="15"/>
        <v>274784.69</v>
      </c>
    </row>
    <row r="20" spans="1:11" x14ac:dyDescent="0.2">
      <c r="A20" s="9" t="s">
        <v>32</v>
      </c>
      <c r="B20" s="7">
        <v>17</v>
      </c>
      <c r="C20" s="20" t="s">
        <v>46</v>
      </c>
      <c r="D20" s="17"/>
      <c r="E20" s="18"/>
      <c r="F20" s="18"/>
      <c r="G20" s="18"/>
      <c r="H20" s="17"/>
      <c r="I20" s="17"/>
      <c r="J20" s="17"/>
      <c r="K20" s="17">
        <f t="shared" si="15"/>
        <v>0</v>
      </c>
    </row>
    <row r="21" spans="1:11" x14ac:dyDescent="0.2">
      <c r="A21" s="9" t="s">
        <v>32</v>
      </c>
      <c r="B21" s="7">
        <v>18</v>
      </c>
      <c r="C21" s="20" t="s">
        <v>47</v>
      </c>
      <c r="D21" s="17"/>
      <c r="E21" s="18"/>
      <c r="F21" s="18"/>
      <c r="G21" s="18"/>
      <c r="H21" s="17"/>
      <c r="I21" s="17"/>
      <c r="J21" s="17"/>
      <c r="K21" s="17">
        <f t="shared" si="15"/>
        <v>0</v>
      </c>
    </row>
    <row r="22" spans="1:11" x14ac:dyDescent="0.2">
      <c r="A22" s="9" t="s">
        <v>32</v>
      </c>
      <c r="B22" s="7">
        <v>19</v>
      </c>
      <c r="C22" s="20" t="s">
        <v>48</v>
      </c>
      <c r="D22" s="17"/>
      <c r="E22" s="18"/>
      <c r="F22" s="18"/>
      <c r="G22" s="18"/>
      <c r="H22" s="17"/>
      <c r="I22" s="17"/>
      <c r="J22" s="17"/>
      <c r="K22" s="17">
        <f t="shared" si="15"/>
        <v>0</v>
      </c>
    </row>
    <row r="23" spans="1:11" x14ac:dyDescent="0.2">
      <c r="A23" s="9"/>
      <c r="B23" s="7">
        <v>20</v>
      </c>
      <c r="C23" s="21" t="s">
        <v>49</v>
      </c>
      <c r="D23" s="11">
        <f t="shared" ref="D23:G23" si="16">SUM(D5,D17,D18,D19)</f>
        <v>3011439.96</v>
      </c>
      <c r="E23" s="12">
        <f t="shared" si="16"/>
        <v>614005.14999999991</v>
      </c>
      <c r="F23" s="12">
        <f t="shared" si="16"/>
        <v>1446057.6</v>
      </c>
      <c r="G23" s="12">
        <f t="shared" si="16"/>
        <v>0</v>
      </c>
      <c r="H23" s="11">
        <f t="shared" ref="H23:I23" si="17">SUM(H5,H17,H18,H19)</f>
        <v>0</v>
      </c>
      <c r="I23" s="11">
        <f t="shared" si="17"/>
        <v>0</v>
      </c>
      <c r="J23" s="11"/>
      <c r="K23" s="11">
        <f t="shared" ref="K23" si="18">SUM(K5,K17,K18,K19)</f>
        <v>5071502.7100000009</v>
      </c>
    </row>
    <row r="24" spans="1:11" x14ac:dyDescent="0.2">
      <c r="A24" s="9" t="s">
        <v>32</v>
      </c>
      <c r="B24" s="7">
        <v>21</v>
      </c>
      <c r="C24" s="20" t="s">
        <v>50</v>
      </c>
      <c r="D24" s="17">
        <v>1864.74</v>
      </c>
      <c r="E24" s="18">
        <v>3871.8</v>
      </c>
      <c r="F24" s="18">
        <v>3133.91</v>
      </c>
      <c r="G24" s="18"/>
      <c r="H24" s="17"/>
      <c r="I24" s="17"/>
      <c r="J24" s="17"/>
      <c r="K24" s="17">
        <f>SUM(D24:I24)</f>
        <v>8870.4500000000007</v>
      </c>
    </row>
    <row r="25" spans="1:11" ht="22.8" x14ac:dyDescent="0.2">
      <c r="A25" s="9" t="s">
        <v>32</v>
      </c>
      <c r="B25" s="7">
        <v>22</v>
      </c>
      <c r="C25" s="20" t="s">
        <v>51</v>
      </c>
      <c r="D25" s="17"/>
      <c r="E25" s="18"/>
      <c r="F25" s="18"/>
      <c r="G25" s="18"/>
      <c r="H25" s="17"/>
      <c r="I25" s="17"/>
      <c r="J25" s="17"/>
      <c r="K25" s="17">
        <f>SUM(D25:I25)</f>
        <v>0</v>
      </c>
    </row>
    <row r="26" spans="1:11" ht="22.8" x14ac:dyDescent="0.2">
      <c r="A26" s="9" t="s">
        <v>32</v>
      </c>
      <c r="B26" s="7">
        <v>23</v>
      </c>
      <c r="C26" s="20" t="s">
        <v>52</v>
      </c>
      <c r="D26" s="17"/>
      <c r="E26" s="18"/>
      <c r="F26" s="18"/>
      <c r="G26" s="18"/>
      <c r="H26" s="17"/>
      <c r="I26" s="17"/>
      <c r="J26" s="17"/>
      <c r="K26" s="17">
        <f>SUM(D26:I26)</f>
        <v>0</v>
      </c>
    </row>
    <row r="27" spans="1:11" ht="22.8" x14ac:dyDescent="0.2">
      <c r="A27" s="9" t="s">
        <v>32</v>
      </c>
      <c r="B27" s="7">
        <v>24</v>
      </c>
      <c r="C27" s="20" t="s">
        <v>53</v>
      </c>
      <c r="D27" s="17"/>
      <c r="E27" s="18"/>
      <c r="F27" s="18"/>
      <c r="G27" s="18"/>
      <c r="H27" s="17"/>
      <c r="I27" s="17"/>
      <c r="J27" s="17"/>
      <c r="K27" s="17">
        <f>SUM(D27:I27)</f>
        <v>0</v>
      </c>
    </row>
    <row r="28" spans="1:11" ht="22.8" x14ac:dyDescent="0.2">
      <c r="A28" s="9" t="s">
        <v>32</v>
      </c>
      <c r="B28" s="7">
        <v>25</v>
      </c>
      <c r="C28" s="20" t="s">
        <v>54</v>
      </c>
      <c r="D28" s="17">
        <v>15939.16</v>
      </c>
      <c r="E28" s="18"/>
      <c r="F28" s="18">
        <v>8545.09</v>
      </c>
      <c r="G28" s="18"/>
      <c r="H28" s="17"/>
      <c r="I28" s="17"/>
      <c r="J28" s="17"/>
      <c r="K28" s="17">
        <f>SUM(D28:I28)</f>
        <v>24484.25</v>
      </c>
    </row>
    <row r="29" spans="1:11" x14ac:dyDescent="0.2">
      <c r="A29" s="9"/>
      <c r="B29" s="7">
        <v>26</v>
      </c>
      <c r="C29" s="21" t="s">
        <v>55</v>
      </c>
      <c r="D29" s="11">
        <f>SUM(D24:D28)</f>
        <v>17803.900000000001</v>
      </c>
      <c r="E29" s="12">
        <f t="shared" ref="E29:G29" si="19">SUM(E24:E28)</f>
        <v>3871.8</v>
      </c>
      <c r="F29" s="12">
        <f t="shared" si="19"/>
        <v>11679</v>
      </c>
      <c r="G29" s="12">
        <f t="shared" si="19"/>
        <v>0</v>
      </c>
      <c r="H29" s="11">
        <f t="shared" ref="H29:I29" si="20">SUM(H24:H28)</f>
        <v>0</v>
      </c>
      <c r="I29" s="11">
        <f t="shared" si="20"/>
        <v>0</v>
      </c>
      <c r="J29" s="11"/>
      <c r="K29" s="11">
        <f t="shared" ref="K29" si="21">SUM(K24:K28)</f>
        <v>33354.699999999997</v>
      </c>
    </row>
    <row r="30" spans="1:11" x14ac:dyDescent="0.2">
      <c r="A30" s="9"/>
      <c r="B30" s="7">
        <v>27</v>
      </c>
      <c r="C30" s="21" t="s">
        <v>56</v>
      </c>
      <c r="D30" s="11">
        <f>D23-D29</f>
        <v>2993636.06</v>
      </c>
      <c r="E30" s="12">
        <f t="shared" ref="E30:G30" si="22">E23-E29</f>
        <v>610133.34999999986</v>
      </c>
      <c r="F30" s="12">
        <f t="shared" si="22"/>
        <v>1434378.6</v>
      </c>
      <c r="G30" s="12">
        <f t="shared" si="22"/>
        <v>0</v>
      </c>
      <c r="H30" s="11">
        <f t="shared" ref="H30:I30" si="23">H23-H29</f>
        <v>0</v>
      </c>
      <c r="I30" s="11">
        <f t="shared" si="23"/>
        <v>0</v>
      </c>
      <c r="J30" s="11"/>
      <c r="K30" s="11">
        <f t="shared" ref="K30" si="24">K23-K29</f>
        <v>5038148.0100000007</v>
      </c>
    </row>
    <row r="31" spans="1:11" x14ac:dyDescent="0.2">
      <c r="A31" s="9" t="s">
        <v>32</v>
      </c>
      <c r="B31" s="7">
        <v>28</v>
      </c>
      <c r="C31" s="22" t="s">
        <v>57</v>
      </c>
      <c r="D31" s="23">
        <v>0</v>
      </c>
      <c r="E31" s="24">
        <v>0</v>
      </c>
      <c r="F31" s="24">
        <v>5621.98</v>
      </c>
      <c r="G31" s="24"/>
      <c r="H31" s="23"/>
      <c r="I31" s="23"/>
      <c r="J31" s="23"/>
      <c r="K31" s="23">
        <f t="shared" ref="K31:K36" si="25">SUM(D31:I31)</f>
        <v>5621.98</v>
      </c>
    </row>
    <row r="32" spans="1:11" x14ac:dyDescent="0.2">
      <c r="A32" s="9" t="s">
        <v>32</v>
      </c>
      <c r="B32" s="7">
        <v>29</v>
      </c>
      <c r="C32" s="138" t="s">
        <v>129</v>
      </c>
      <c r="D32" s="23">
        <v>134736.19115005099</v>
      </c>
      <c r="E32" s="24">
        <v>12142.1471513133</v>
      </c>
      <c r="F32" s="24">
        <v>7192.5794883536</v>
      </c>
      <c r="G32" s="24"/>
      <c r="H32" s="23"/>
      <c r="I32" s="23"/>
      <c r="J32" s="23"/>
      <c r="K32" s="23">
        <f t="shared" si="25"/>
        <v>154070.91778971787</v>
      </c>
    </row>
    <row r="33" spans="1:11" x14ac:dyDescent="0.2">
      <c r="A33" s="9" t="s">
        <v>32</v>
      </c>
      <c r="B33" s="7">
        <v>30</v>
      </c>
      <c r="C33" s="138" t="s">
        <v>130</v>
      </c>
      <c r="D33" s="23">
        <v>448681.01928555203</v>
      </c>
      <c r="E33" s="24">
        <v>5619.0737589754999</v>
      </c>
      <c r="F33" s="24">
        <v>291.4228709166</v>
      </c>
      <c r="G33" s="24"/>
      <c r="H33" s="23"/>
      <c r="I33" s="23"/>
      <c r="J33" s="23"/>
      <c r="K33" s="23">
        <f t="shared" si="25"/>
        <v>454591.51591544412</v>
      </c>
    </row>
    <row r="34" spans="1:11" x14ac:dyDescent="0.2">
      <c r="A34" s="9" t="s">
        <v>32</v>
      </c>
      <c r="B34" s="7">
        <v>31</v>
      </c>
      <c r="C34" s="138" t="s">
        <v>131</v>
      </c>
      <c r="D34" s="23">
        <v>82069.693829401105</v>
      </c>
      <c r="E34" s="24">
        <v>9786.5534482758994</v>
      </c>
      <c r="F34" s="24">
        <v>6352.6750453720997</v>
      </c>
      <c r="G34" s="24"/>
      <c r="H34" s="23"/>
      <c r="I34" s="23"/>
      <c r="J34" s="23"/>
      <c r="K34" s="23">
        <f t="shared" si="25"/>
        <v>98208.922323049104</v>
      </c>
    </row>
    <row r="35" spans="1:11" x14ac:dyDescent="0.2">
      <c r="A35" s="9" t="s">
        <v>32</v>
      </c>
      <c r="B35" s="7">
        <v>32</v>
      </c>
      <c r="C35" s="138" t="s">
        <v>132</v>
      </c>
      <c r="D35" s="23">
        <v>45836.5709968558</v>
      </c>
      <c r="E35" s="24">
        <v>4130.6970696212002</v>
      </c>
      <c r="F35" s="24">
        <v>2446.8791759245</v>
      </c>
      <c r="G35" s="24"/>
      <c r="H35" s="23"/>
      <c r="I35" s="23"/>
      <c r="J35" s="23"/>
      <c r="K35" s="23">
        <f t="shared" si="25"/>
        <v>52414.147242401501</v>
      </c>
    </row>
    <row r="36" spans="1:11" x14ac:dyDescent="0.2">
      <c r="A36" s="9" t="s">
        <v>32</v>
      </c>
      <c r="B36" s="7">
        <v>33</v>
      </c>
      <c r="C36" s="138" t="s">
        <v>133</v>
      </c>
      <c r="D36" s="23">
        <v>14601.6273492195</v>
      </c>
      <c r="E36" s="24">
        <v>2977.1386811249999</v>
      </c>
      <c r="F36" s="24">
        <v>7011.5275353876004</v>
      </c>
      <c r="G36" s="24"/>
      <c r="H36" s="23"/>
      <c r="I36" s="23"/>
      <c r="J36" s="23"/>
      <c r="K36" s="23">
        <f t="shared" si="25"/>
        <v>24590.2935657321</v>
      </c>
    </row>
    <row r="37" spans="1:11" ht="22.8" x14ac:dyDescent="0.2">
      <c r="A37" s="9"/>
      <c r="B37" s="7">
        <v>34</v>
      </c>
      <c r="C37" s="22" t="s">
        <v>134</v>
      </c>
      <c r="D37" s="14">
        <f>SUM(D32:D36)</f>
        <v>725925.10261107958</v>
      </c>
      <c r="E37" s="14">
        <f t="shared" ref="E37:I37" si="26">SUM(E32:E36)</f>
        <v>34655.610109310903</v>
      </c>
      <c r="F37" s="14">
        <f t="shared" si="26"/>
        <v>23295.0841159544</v>
      </c>
      <c r="G37" s="14">
        <f t="shared" si="26"/>
        <v>0</v>
      </c>
      <c r="H37" s="14">
        <f t="shared" ref="H37" si="27">SUM(H32:H36)</f>
        <v>0</v>
      </c>
      <c r="I37" s="14">
        <f t="shared" si="26"/>
        <v>0</v>
      </c>
      <c r="J37" s="14"/>
      <c r="K37" s="14">
        <f t="shared" ref="K37" si="28">SUM(K38:K41)</f>
        <v>0</v>
      </c>
    </row>
    <row r="38" spans="1:11" x14ac:dyDescent="0.2">
      <c r="A38" s="9" t="s">
        <v>32</v>
      </c>
      <c r="B38" s="7">
        <v>35</v>
      </c>
      <c r="C38" s="25" t="s">
        <v>58</v>
      </c>
      <c r="D38" s="27" t="s">
        <v>144</v>
      </c>
      <c r="E38" s="28" t="s">
        <v>144</v>
      </c>
      <c r="F38" s="28" t="s">
        <v>144</v>
      </c>
      <c r="G38" s="28"/>
      <c r="H38" s="27"/>
      <c r="I38" s="27"/>
      <c r="J38" s="27"/>
      <c r="K38" s="29"/>
    </row>
    <row r="39" spans="1:11" x14ac:dyDescent="0.2">
      <c r="A39" s="9" t="s">
        <v>32</v>
      </c>
      <c r="B39" s="7">
        <v>36</v>
      </c>
      <c r="C39" s="26" t="s">
        <v>59</v>
      </c>
      <c r="D39" s="27" t="s">
        <v>144</v>
      </c>
      <c r="E39" s="28" t="s">
        <v>144</v>
      </c>
      <c r="F39" s="28" t="s">
        <v>144</v>
      </c>
      <c r="G39" s="28"/>
      <c r="H39" s="27"/>
      <c r="I39" s="27"/>
      <c r="J39" s="27"/>
      <c r="K39" s="29"/>
    </row>
    <row r="40" spans="1:11" x14ac:dyDescent="0.2">
      <c r="A40" s="9" t="s">
        <v>32</v>
      </c>
      <c r="B40" s="7">
        <v>37</v>
      </c>
      <c r="C40" s="26" t="s">
        <v>137</v>
      </c>
      <c r="D40" s="27" t="s">
        <v>142</v>
      </c>
      <c r="E40" s="28" t="s">
        <v>142</v>
      </c>
      <c r="F40" s="28" t="s">
        <v>142</v>
      </c>
      <c r="G40" s="28"/>
      <c r="H40" s="27"/>
      <c r="I40" s="27"/>
      <c r="J40" s="27"/>
      <c r="K40" s="29"/>
    </row>
    <row r="41" spans="1:11" x14ac:dyDescent="0.2">
      <c r="A41" s="9" t="s">
        <v>32</v>
      </c>
      <c r="B41" s="7">
        <v>38</v>
      </c>
      <c r="C41" s="26" t="s">
        <v>60</v>
      </c>
      <c r="D41" s="27" t="s">
        <v>143</v>
      </c>
      <c r="E41" s="28" t="s">
        <v>143</v>
      </c>
      <c r="F41" s="28" t="s">
        <v>143</v>
      </c>
      <c r="G41" s="28"/>
      <c r="H41" s="27"/>
      <c r="I41" s="27"/>
      <c r="J41" s="27"/>
      <c r="K41" s="29"/>
    </row>
    <row r="42" spans="1:11" x14ac:dyDescent="0.2">
      <c r="A42" s="9" t="s">
        <v>32</v>
      </c>
      <c r="B42" s="7">
        <v>39</v>
      </c>
      <c r="C42" s="26" t="s">
        <v>61</v>
      </c>
      <c r="D42" s="141">
        <v>1211157</v>
      </c>
      <c r="E42" s="142">
        <v>126721</v>
      </c>
      <c r="F42" s="142">
        <v>913227</v>
      </c>
      <c r="G42" s="142"/>
      <c r="H42" s="141"/>
      <c r="I42" s="141"/>
      <c r="J42" s="141"/>
      <c r="K42" s="141"/>
    </row>
    <row r="43" spans="1:11" x14ac:dyDescent="0.2">
      <c r="A43" s="9"/>
      <c r="B43" s="7">
        <v>40</v>
      </c>
      <c r="C43" s="22" t="s">
        <v>62</v>
      </c>
      <c r="D43" s="30">
        <f>IFERROR(D30/D42,"")</f>
        <v>2.4717159377355702</v>
      </c>
      <c r="E43" s="31">
        <f t="shared" ref="E43:G43" si="29">IFERROR(E30/E42,"")</f>
        <v>4.8147769509394642</v>
      </c>
      <c r="F43" s="31">
        <f t="shared" si="29"/>
        <v>1.5706703809677114</v>
      </c>
      <c r="G43" s="31" t="str">
        <f t="shared" si="29"/>
        <v/>
      </c>
      <c r="H43" s="30" t="str">
        <f t="shared" ref="H43:I43" si="30">IFERROR(H30/H42,"")</f>
        <v/>
      </c>
      <c r="I43" s="30" t="str">
        <f t="shared" si="30"/>
        <v/>
      </c>
      <c r="J43" s="30"/>
      <c r="K43" s="30" t="str">
        <f t="shared" ref="K43" si="31">IFERROR(K30/K42,"")</f>
        <v/>
      </c>
    </row>
    <row r="44" spans="1:11" ht="34.200000000000003" x14ac:dyDescent="0.2">
      <c r="A44" s="9"/>
      <c r="B44" s="7">
        <v>41</v>
      </c>
      <c r="C44" s="21" t="s">
        <v>63</v>
      </c>
      <c r="D44" s="32">
        <f>IFERROR((D23+D37)/D42,"")</f>
        <v>3.0857808381663814</v>
      </c>
      <c r="E44" s="32">
        <f t="shared" ref="E44:I44" si="32">IFERROR((E23+E37)/E42,"")</f>
        <v>5.1188103006550678</v>
      </c>
      <c r="F44" s="32">
        <f t="shared" si="32"/>
        <v>1.6089676324900102</v>
      </c>
      <c r="G44" s="32" t="str">
        <f t="shared" si="32"/>
        <v/>
      </c>
      <c r="H44" s="32" t="str">
        <f t="shared" ref="H44" si="33">IFERROR((H23+H37)/H42,"")</f>
        <v/>
      </c>
      <c r="I44" s="32" t="str">
        <f t="shared" si="32"/>
        <v/>
      </c>
      <c r="J44" s="32"/>
      <c r="K44" s="32" t="str">
        <f t="shared" ref="K44" si="34">IFERROR(K23/K42,"")</f>
        <v/>
      </c>
    </row>
    <row r="45" spans="1:11" x14ac:dyDescent="0.2">
      <c r="A45" s="9" t="s">
        <v>64</v>
      </c>
      <c r="B45" s="7">
        <v>42</v>
      </c>
      <c r="C45" s="34" t="s">
        <v>65</v>
      </c>
      <c r="D45" s="35">
        <v>3.1414854559999998</v>
      </c>
      <c r="E45" s="36">
        <v>4.9453405893999998</v>
      </c>
      <c r="F45" s="36">
        <v>1.4925313574000001</v>
      </c>
      <c r="G45" s="36"/>
      <c r="H45" s="35"/>
      <c r="I45" s="35"/>
      <c r="J45" s="35"/>
      <c r="K45" s="35"/>
    </row>
    <row r="46" spans="1:11" x14ac:dyDescent="0.2">
      <c r="A46" s="9" t="s">
        <v>66</v>
      </c>
      <c r="B46" s="7">
        <v>43</v>
      </c>
      <c r="C46" s="34" t="s">
        <v>67</v>
      </c>
      <c r="D46" s="37">
        <v>153400.83087999999</v>
      </c>
      <c r="E46" s="38">
        <v>131718.22601000001</v>
      </c>
      <c r="F46" s="38">
        <v>156166.18466</v>
      </c>
      <c r="G46" s="38"/>
      <c r="H46" s="37"/>
      <c r="I46" s="37"/>
      <c r="J46" s="37"/>
      <c r="K46" s="37"/>
    </row>
    <row r="47" spans="1:11" x14ac:dyDescent="0.2">
      <c r="A47" s="9" t="s">
        <v>66</v>
      </c>
      <c r="B47" s="7">
        <v>44</v>
      </c>
      <c r="C47" s="34" t="s">
        <v>68</v>
      </c>
      <c r="D47" s="39">
        <v>54420.863007</v>
      </c>
      <c r="E47" s="40">
        <v>54530.719060000003</v>
      </c>
      <c r="F47" s="40">
        <v>48715.896327000002</v>
      </c>
      <c r="G47" s="40"/>
      <c r="H47" s="39"/>
      <c r="I47" s="39"/>
      <c r="J47" s="39"/>
      <c r="K47" s="39"/>
    </row>
    <row r="48" spans="1:11" x14ac:dyDescent="0.2">
      <c r="A48" s="9"/>
      <c r="B48" s="7">
        <v>45</v>
      </c>
    </row>
    <row r="49" spans="1:11" x14ac:dyDescent="0.2">
      <c r="A49" s="9"/>
      <c r="B49" s="7">
        <v>46</v>
      </c>
      <c r="C49" s="16"/>
    </row>
    <row r="50" spans="1:11" x14ac:dyDescent="0.2">
      <c r="A50" s="9" t="s">
        <v>32</v>
      </c>
      <c r="B50" s="7">
        <v>47</v>
      </c>
      <c r="C50" s="16" t="s">
        <v>69</v>
      </c>
      <c r="D50" s="41">
        <v>349400.35</v>
      </c>
      <c r="E50" s="42">
        <v>446391.32</v>
      </c>
      <c r="F50" s="42">
        <v>404425.87</v>
      </c>
      <c r="G50" s="42"/>
      <c r="H50" s="41"/>
      <c r="I50" s="41"/>
      <c r="J50" s="41"/>
      <c r="K50" s="41"/>
    </row>
    <row r="51" spans="1:11" x14ac:dyDescent="0.2">
      <c r="A51" s="9" t="s">
        <v>32</v>
      </c>
      <c r="B51" s="7">
        <v>48</v>
      </c>
      <c r="C51" s="16" t="s">
        <v>70</v>
      </c>
      <c r="D51" s="43">
        <v>2.6720000000000002</v>
      </c>
      <c r="E51" s="44">
        <v>6.2066999999999997</v>
      </c>
      <c r="F51" s="44">
        <v>2.2400000000000002</v>
      </c>
      <c r="G51" s="44"/>
      <c r="H51" s="43"/>
      <c r="I51" s="43"/>
      <c r="J51" s="43"/>
      <c r="K51" s="43"/>
    </row>
    <row r="52" spans="1:11" ht="22.8" x14ac:dyDescent="0.2">
      <c r="A52" s="9" t="s">
        <v>32</v>
      </c>
      <c r="B52" s="7">
        <v>49</v>
      </c>
      <c r="C52" s="45" t="s">
        <v>71</v>
      </c>
      <c r="D52" s="46">
        <v>130763.60400000001</v>
      </c>
      <c r="E52" s="47">
        <v>71920.879100000006</v>
      </c>
      <c r="F52" s="47">
        <v>180547.2634</v>
      </c>
      <c r="G52" s="47"/>
      <c r="H52" s="46"/>
      <c r="I52" s="46"/>
      <c r="J52" s="46"/>
      <c r="K52" s="46"/>
    </row>
    <row r="53" spans="1:11" x14ac:dyDescent="0.2">
      <c r="A53" s="9"/>
      <c r="B53" s="7">
        <v>50</v>
      </c>
    </row>
    <row r="54" spans="1:11" x14ac:dyDescent="0.2">
      <c r="A54" s="9" t="s">
        <v>32</v>
      </c>
      <c r="B54" s="7">
        <v>51</v>
      </c>
      <c r="C54" s="16" t="s">
        <v>72</v>
      </c>
      <c r="D54" s="41"/>
      <c r="E54" s="42"/>
      <c r="F54" s="42"/>
      <c r="G54" s="42"/>
      <c r="H54" s="41"/>
      <c r="I54" s="41"/>
      <c r="J54" s="41"/>
      <c r="K54" s="41"/>
    </row>
    <row r="55" spans="1:11" x14ac:dyDescent="0.2">
      <c r="A55" s="9" t="s">
        <v>32</v>
      </c>
      <c r="B55" s="7">
        <v>52</v>
      </c>
      <c r="C55" s="16" t="s">
        <v>73</v>
      </c>
      <c r="D55" s="43"/>
      <c r="E55" s="44"/>
      <c r="F55" s="44"/>
      <c r="G55" s="44"/>
      <c r="H55" s="43"/>
      <c r="I55" s="43"/>
      <c r="J55" s="43"/>
      <c r="K55" s="43"/>
    </row>
    <row r="56" spans="1:11" x14ac:dyDescent="0.2">
      <c r="A56" s="9" t="s">
        <v>32</v>
      </c>
      <c r="B56" s="7">
        <v>53</v>
      </c>
      <c r="C56" s="45" t="s">
        <v>74</v>
      </c>
      <c r="D56" s="46"/>
      <c r="E56" s="47"/>
      <c r="F56" s="47"/>
      <c r="G56" s="47"/>
      <c r="H56" s="46"/>
      <c r="I56" s="46"/>
      <c r="J56" s="46"/>
      <c r="K56" s="46"/>
    </row>
    <row r="57" spans="1:11" x14ac:dyDescent="0.2">
      <c r="A57" s="9"/>
      <c r="B57" s="7">
        <v>54</v>
      </c>
    </row>
    <row r="58" spans="1:11" x14ac:dyDescent="0.2">
      <c r="A58" s="9" t="s">
        <v>32</v>
      </c>
      <c r="B58" s="7">
        <v>55</v>
      </c>
      <c r="C58" s="16" t="s">
        <v>75</v>
      </c>
      <c r="D58" s="41">
        <v>1331355.6200000001</v>
      </c>
      <c r="E58" s="42">
        <v>75106.789999999994</v>
      </c>
      <c r="F58" s="42">
        <v>0</v>
      </c>
      <c r="G58" s="42"/>
      <c r="H58" s="41"/>
      <c r="I58" s="41"/>
      <c r="J58" s="41"/>
      <c r="K58" s="41"/>
    </row>
    <row r="59" spans="1:11" x14ac:dyDescent="0.2">
      <c r="A59" s="9" t="s">
        <v>32</v>
      </c>
      <c r="B59" s="7">
        <v>56</v>
      </c>
      <c r="C59" s="16" t="s">
        <v>76</v>
      </c>
      <c r="D59" s="43">
        <v>23.58</v>
      </c>
      <c r="E59" s="44">
        <v>1.66</v>
      </c>
      <c r="F59" s="44">
        <v>0</v>
      </c>
      <c r="G59" s="44"/>
      <c r="H59" s="43"/>
      <c r="I59" s="43"/>
      <c r="J59" s="43"/>
      <c r="K59" s="43"/>
    </row>
    <row r="60" spans="1:11" x14ac:dyDescent="0.2">
      <c r="A60" s="9" t="s">
        <v>32</v>
      </c>
      <c r="B60" s="7">
        <v>57</v>
      </c>
      <c r="C60" s="48" t="s">
        <v>77</v>
      </c>
      <c r="D60" s="46">
        <v>56461.222199999997</v>
      </c>
      <c r="E60" s="47">
        <v>45245.054199999999</v>
      </c>
      <c r="F60" s="47"/>
      <c r="G60" s="47"/>
      <c r="H60" s="46"/>
      <c r="I60" s="46"/>
      <c r="J60" s="46"/>
      <c r="K60" s="46"/>
    </row>
    <row r="61" spans="1:11" x14ac:dyDescent="0.2">
      <c r="A61" s="9"/>
      <c r="B61" s="7">
        <v>58</v>
      </c>
    </row>
    <row r="62" spans="1:11" x14ac:dyDescent="0.2">
      <c r="A62" s="9" t="s">
        <v>32</v>
      </c>
      <c r="B62" s="7">
        <v>59</v>
      </c>
      <c r="C62" s="16" t="s">
        <v>78</v>
      </c>
      <c r="D62" s="41">
        <v>222014.33</v>
      </c>
      <c r="E62" s="42">
        <v>0</v>
      </c>
      <c r="F62" s="42">
        <v>749442.17</v>
      </c>
      <c r="G62" s="42"/>
      <c r="H62" s="41"/>
      <c r="I62" s="41"/>
      <c r="J62" s="41"/>
      <c r="K62" s="41"/>
    </row>
    <row r="63" spans="1:11" x14ac:dyDescent="0.2">
      <c r="A63" s="9" t="s">
        <v>32</v>
      </c>
      <c r="B63" s="7">
        <v>60</v>
      </c>
      <c r="C63" s="16" t="s">
        <v>79</v>
      </c>
      <c r="D63" s="43">
        <v>7.17</v>
      </c>
      <c r="E63" s="44">
        <v>0</v>
      </c>
      <c r="F63" s="44">
        <v>16.43</v>
      </c>
      <c r="G63" s="44"/>
      <c r="H63" s="43"/>
      <c r="I63" s="43"/>
      <c r="J63" s="43"/>
      <c r="K63" s="43"/>
    </row>
    <row r="64" spans="1:11" x14ac:dyDescent="0.2">
      <c r="A64" s="9" t="s">
        <v>32</v>
      </c>
      <c r="B64" s="7">
        <v>61</v>
      </c>
      <c r="C64" s="48" t="s">
        <v>80</v>
      </c>
      <c r="D64" s="46">
        <v>30964.341700000001</v>
      </c>
      <c r="E64" s="47"/>
      <c r="F64" s="47">
        <v>45614.2526</v>
      </c>
      <c r="G64" s="47"/>
      <c r="H64" s="46"/>
      <c r="I64" s="46"/>
      <c r="J64" s="46"/>
      <c r="K64" s="46"/>
    </row>
    <row r="65" spans="1:11" x14ac:dyDescent="0.2">
      <c r="A65" s="9"/>
      <c r="B65" s="7">
        <v>62</v>
      </c>
    </row>
    <row r="66" spans="1:11" x14ac:dyDescent="0.2">
      <c r="A66" s="9" t="s">
        <v>32</v>
      </c>
      <c r="B66" s="7">
        <v>63</v>
      </c>
      <c r="C66" s="16" t="s">
        <v>81</v>
      </c>
      <c r="D66" s="41">
        <v>1553369.95</v>
      </c>
      <c r="E66" s="42">
        <v>75106.789999999994</v>
      </c>
      <c r="F66" s="42">
        <v>749442.17</v>
      </c>
      <c r="G66" s="42"/>
      <c r="H66" s="41"/>
      <c r="I66" s="41"/>
      <c r="J66" s="41"/>
      <c r="K66" s="41"/>
    </row>
    <row r="67" spans="1:11" x14ac:dyDescent="0.2">
      <c r="A67" s="9" t="s">
        <v>32</v>
      </c>
      <c r="B67" s="7">
        <v>64</v>
      </c>
      <c r="C67" s="16" t="s">
        <v>82</v>
      </c>
      <c r="D67" s="43">
        <v>30.75</v>
      </c>
      <c r="E67" s="44">
        <v>1.66</v>
      </c>
      <c r="F67" s="44">
        <v>16.43</v>
      </c>
      <c r="G67" s="44"/>
      <c r="H67" s="43"/>
      <c r="I67" s="43"/>
      <c r="J67" s="43"/>
      <c r="K67" s="43"/>
    </row>
    <row r="68" spans="1:11" x14ac:dyDescent="0.2">
      <c r="A68" s="9" t="s">
        <v>32</v>
      </c>
      <c r="B68" s="7">
        <v>65</v>
      </c>
      <c r="C68" s="48" t="s">
        <v>83</v>
      </c>
      <c r="D68" s="46">
        <v>50516.0959</v>
      </c>
      <c r="E68" s="47">
        <v>45245.054199999999</v>
      </c>
      <c r="F68" s="47">
        <v>45614.2526</v>
      </c>
      <c r="G68" s="47"/>
      <c r="H68" s="46"/>
      <c r="I68" s="46"/>
      <c r="J68" s="46"/>
      <c r="K68" s="46"/>
    </row>
    <row r="69" spans="1:11" x14ac:dyDescent="0.2">
      <c r="A69" s="9"/>
      <c r="B69" s="7">
        <v>66</v>
      </c>
    </row>
    <row r="70" spans="1:11" x14ac:dyDescent="0.2">
      <c r="A70" s="9" t="s">
        <v>32</v>
      </c>
      <c r="B70" s="7">
        <v>67</v>
      </c>
      <c r="C70" s="181" t="s">
        <v>165</v>
      </c>
      <c r="D70" s="17">
        <v>37648.879999999997</v>
      </c>
      <c r="E70" s="18">
        <v>26004.37</v>
      </c>
      <c r="F70" s="18">
        <v>2679.1</v>
      </c>
      <c r="G70" s="18"/>
      <c r="H70" s="17"/>
      <c r="I70" s="17"/>
      <c r="J70" s="17"/>
      <c r="K70" s="17"/>
    </row>
    <row r="71" spans="1:11" x14ac:dyDescent="0.2">
      <c r="A71" s="9" t="s">
        <v>32</v>
      </c>
      <c r="B71" s="7">
        <v>68</v>
      </c>
      <c r="C71" s="181" t="s">
        <v>166</v>
      </c>
      <c r="D71" s="17">
        <v>2357.5500000000002</v>
      </c>
      <c r="E71" s="18"/>
      <c r="F71" s="18"/>
      <c r="G71" s="18"/>
      <c r="H71" s="17"/>
      <c r="I71" s="17"/>
      <c r="J71" s="17"/>
      <c r="K71" s="17"/>
    </row>
    <row r="72" spans="1:11" x14ac:dyDescent="0.2">
      <c r="A72" s="9" t="s">
        <v>32</v>
      </c>
      <c r="B72" s="7">
        <v>69</v>
      </c>
      <c r="C72" s="181" t="s">
        <v>167</v>
      </c>
      <c r="D72" s="17"/>
      <c r="E72" s="18"/>
      <c r="F72" s="18"/>
      <c r="G72" s="18"/>
      <c r="H72" s="17"/>
      <c r="I72" s="17"/>
      <c r="J72" s="17"/>
      <c r="K72" s="17"/>
    </row>
    <row r="73" spans="1:11" x14ac:dyDescent="0.2">
      <c r="A73" s="9" t="s">
        <v>32</v>
      </c>
      <c r="B73" s="7">
        <v>70</v>
      </c>
      <c r="C73" s="181" t="s">
        <v>168</v>
      </c>
      <c r="D73" s="17"/>
      <c r="E73" s="18"/>
      <c r="F73" s="18"/>
      <c r="G73" s="18"/>
      <c r="H73" s="17"/>
      <c r="I73" s="17"/>
      <c r="J73" s="17"/>
      <c r="K73" s="17"/>
    </row>
    <row r="74" spans="1:11" x14ac:dyDescent="0.2">
      <c r="A74" s="9" t="s">
        <v>32</v>
      </c>
      <c r="B74" s="7">
        <v>71</v>
      </c>
      <c r="C74" s="181" t="s">
        <v>169</v>
      </c>
      <c r="D74" s="17">
        <v>23024.080000000002</v>
      </c>
      <c r="E74" s="18"/>
      <c r="F74" s="18"/>
      <c r="G74" s="18"/>
      <c r="H74" s="17"/>
      <c r="I74" s="17"/>
      <c r="J74" s="17"/>
      <c r="K74" s="17"/>
    </row>
    <row r="75" spans="1:11" x14ac:dyDescent="0.2">
      <c r="A75" s="9" t="s">
        <v>32</v>
      </c>
      <c r="B75" s="7">
        <v>72</v>
      </c>
      <c r="C75" s="181" t="s">
        <v>170</v>
      </c>
      <c r="D75" s="17">
        <v>20317.650000000001</v>
      </c>
      <c r="E75" s="18"/>
      <c r="F75" s="18"/>
      <c r="G75" s="18"/>
      <c r="H75" s="17"/>
      <c r="I75" s="17"/>
      <c r="J75" s="17"/>
      <c r="K75" s="17"/>
    </row>
    <row r="76" spans="1:11" x14ac:dyDescent="0.2">
      <c r="A76" s="9" t="s">
        <v>32</v>
      </c>
      <c r="B76" s="7">
        <v>73</v>
      </c>
      <c r="C76" s="181" t="s">
        <v>171</v>
      </c>
      <c r="D76" s="17">
        <v>751405.85</v>
      </c>
      <c r="E76" s="18">
        <v>49941.32</v>
      </c>
      <c r="F76" s="18">
        <v>41887.550000000003</v>
      </c>
      <c r="G76" s="18"/>
      <c r="H76" s="17"/>
      <c r="I76" s="17"/>
      <c r="J76" s="17"/>
      <c r="K76" s="17"/>
    </row>
    <row r="77" spans="1:11" x14ac:dyDescent="0.2">
      <c r="A77" s="9" t="s">
        <v>32</v>
      </c>
      <c r="B77" s="7">
        <v>74</v>
      </c>
      <c r="C77" s="181" t="s">
        <v>172</v>
      </c>
      <c r="D77" s="17">
        <v>197195.95</v>
      </c>
      <c r="E77" s="18">
        <v>5457.13</v>
      </c>
      <c r="F77" s="18">
        <v>98730.68</v>
      </c>
      <c r="G77" s="18"/>
      <c r="H77" s="17"/>
      <c r="I77" s="17"/>
      <c r="J77" s="17"/>
      <c r="K77" s="17"/>
    </row>
    <row r="78" spans="1:11" x14ac:dyDescent="0.2">
      <c r="A78" s="9" t="s">
        <v>32</v>
      </c>
      <c r="B78" s="7">
        <v>75</v>
      </c>
      <c r="C78" s="181" t="s">
        <v>173</v>
      </c>
      <c r="D78" s="17">
        <v>60780.54</v>
      </c>
      <c r="E78" s="18">
        <v>11104.22</v>
      </c>
      <c r="F78" s="18">
        <v>132119.26999999999</v>
      </c>
      <c r="G78" s="18"/>
      <c r="H78" s="17"/>
      <c r="I78" s="17"/>
      <c r="J78" s="17"/>
      <c r="K78" s="17"/>
    </row>
    <row r="79" spans="1:11" x14ac:dyDescent="0.2">
      <c r="A79" s="9"/>
      <c r="B79" s="7">
        <v>76</v>
      </c>
    </row>
    <row r="80" spans="1:11" s="50" customFormat="1" x14ac:dyDescent="0.2">
      <c r="A80" s="49" t="s">
        <v>84</v>
      </c>
      <c r="B80" s="7">
        <v>77</v>
      </c>
      <c r="E80" s="51"/>
      <c r="F80" s="51"/>
      <c r="G80" s="51"/>
    </row>
    <row r="81" spans="1:11" x14ac:dyDescent="0.2">
      <c r="A81" s="9"/>
      <c r="B81" s="7">
        <v>78</v>
      </c>
      <c r="C81" s="10" t="s">
        <v>30</v>
      </c>
      <c r="D81" s="11">
        <f>SUM(D82,D86)</f>
        <v>1828979.4700000002</v>
      </c>
      <c r="E81" s="12">
        <f t="shared" ref="E81:G81" si="35">SUM(E82,E86)</f>
        <v>506025.3</v>
      </c>
      <c r="F81" s="12">
        <f t="shared" si="35"/>
        <v>1226312.96</v>
      </c>
      <c r="G81" s="12">
        <f t="shared" si="35"/>
        <v>0</v>
      </c>
      <c r="H81" s="11">
        <f t="shared" ref="H81:I81" si="36">SUM(H82,H86)</f>
        <v>0</v>
      </c>
      <c r="I81" s="11">
        <f t="shared" si="36"/>
        <v>0</v>
      </c>
      <c r="J81" s="11"/>
      <c r="K81" s="11">
        <f t="shared" ref="K81" si="37">SUM(K82,K86)</f>
        <v>3561317.7300000004</v>
      </c>
    </row>
    <row r="82" spans="1:11" x14ac:dyDescent="0.2">
      <c r="A82" s="9"/>
      <c r="B82" s="7">
        <v>79</v>
      </c>
      <c r="C82" s="13" t="s">
        <v>31</v>
      </c>
      <c r="D82" s="14">
        <f>SUM(D83:D85)</f>
        <v>362588.88</v>
      </c>
      <c r="E82" s="15">
        <f t="shared" ref="E82:G82" si="38">SUM(E83:E85)</f>
        <v>107001.62</v>
      </c>
      <c r="F82" s="15">
        <f t="shared" si="38"/>
        <v>393940.54</v>
      </c>
      <c r="G82" s="15">
        <f t="shared" si="38"/>
        <v>0</v>
      </c>
      <c r="H82" s="14">
        <f t="shared" ref="H82:I82" si="39">SUM(H83:H85)</f>
        <v>0</v>
      </c>
      <c r="I82" s="14">
        <f t="shared" si="39"/>
        <v>0</v>
      </c>
      <c r="J82" s="14"/>
      <c r="K82" s="14">
        <f t="shared" ref="K82" si="40">SUM(K83:K85)</f>
        <v>863531.04</v>
      </c>
    </row>
    <row r="83" spans="1:11" x14ac:dyDescent="0.2">
      <c r="A83" s="9" t="s">
        <v>85</v>
      </c>
      <c r="B83" s="7">
        <v>80</v>
      </c>
      <c r="C83" s="16" t="s">
        <v>33</v>
      </c>
      <c r="D83" s="17"/>
      <c r="E83" s="18"/>
      <c r="F83" s="18"/>
      <c r="G83" s="18"/>
      <c r="H83" s="17"/>
      <c r="I83" s="17"/>
      <c r="J83" s="17"/>
      <c r="K83" s="17">
        <f>SUM(D83:I83)</f>
        <v>0</v>
      </c>
    </row>
    <row r="84" spans="1:11" x14ac:dyDescent="0.2">
      <c r="A84" s="9" t="s">
        <v>85</v>
      </c>
      <c r="B84" s="7">
        <v>81</v>
      </c>
      <c r="C84" s="16" t="s">
        <v>34</v>
      </c>
      <c r="D84" s="17">
        <v>362588.88</v>
      </c>
      <c r="E84" s="18">
        <v>107001.62</v>
      </c>
      <c r="F84" s="18">
        <v>393940.54</v>
      </c>
      <c r="G84" s="18"/>
      <c r="H84" s="17"/>
      <c r="I84" s="17"/>
      <c r="J84" s="17"/>
      <c r="K84" s="17">
        <f>SUM(D84:I84)</f>
        <v>863531.04</v>
      </c>
    </row>
    <row r="85" spans="1:11" x14ac:dyDescent="0.2">
      <c r="A85" s="9" t="s">
        <v>85</v>
      </c>
      <c r="B85" s="7">
        <v>82</v>
      </c>
      <c r="C85" s="16" t="s">
        <v>35</v>
      </c>
      <c r="D85" s="17"/>
      <c r="E85" s="18"/>
      <c r="F85" s="18"/>
      <c r="G85" s="18"/>
      <c r="H85" s="17"/>
      <c r="I85" s="17"/>
      <c r="J85" s="17"/>
      <c r="K85" s="17">
        <f>SUM(D85:I85)</f>
        <v>0</v>
      </c>
    </row>
    <row r="86" spans="1:11" x14ac:dyDescent="0.2">
      <c r="A86" s="9"/>
      <c r="B86" s="7">
        <v>83</v>
      </c>
      <c r="C86" s="13" t="s">
        <v>36</v>
      </c>
      <c r="D86" s="14">
        <f>SUM(D87:D90)</f>
        <v>1466390.59</v>
      </c>
      <c r="E86" s="15">
        <f t="shared" ref="E86:G86" si="41">SUM(E87:E90)</f>
        <v>399023.68</v>
      </c>
      <c r="F86" s="15">
        <f t="shared" si="41"/>
        <v>832372.42</v>
      </c>
      <c r="G86" s="15">
        <f t="shared" si="41"/>
        <v>0</v>
      </c>
      <c r="H86" s="14">
        <f t="shared" ref="H86:I86" si="42">SUM(H87:H90)</f>
        <v>0</v>
      </c>
      <c r="I86" s="14">
        <f t="shared" si="42"/>
        <v>0</v>
      </c>
      <c r="J86" s="14"/>
      <c r="K86" s="14">
        <f t="shared" ref="K86" si="43">SUM(K87:K90)</f>
        <v>2697786.6900000004</v>
      </c>
    </row>
    <row r="87" spans="1:11" x14ac:dyDescent="0.2">
      <c r="A87" s="9" t="s">
        <v>85</v>
      </c>
      <c r="B87" s="7">
        <v>84</v>
      </c>
      <c r="C87" s="16" t="s">
        <v>37</v>
      </c>
      <c r="D87" s="17"/>
      <c r="E87" s="18"/>
      <c r="F87" s="18">
        <v>56939.62</v>
      </c>
      <c r="G87" s="18"/>
      <c r="H87" s="17"/>
      <c r="I87" s="17"/>
      <c r="J87" s="17"/>
      <c r="K87" s="17">
        <f>SUM(D87:I87)</f>
        <v>56939.62</v>
      </c>
    </row>
    <row r="88" spans="1:11" x14ac:dyDescent="0.2">
      <c r="A88" s="9" t="s">
        <v>85</v>
      </c>
      <c r="B88" s="7">
        <v>85</v>
      </c>
      <c r="C88" s="16" t="s">
        <v>38</v>
      </c>
      <c r="D88" s="17">
        <v>1466390.59</v>
      </c>
      <c r="E88" s="18">
        <v>399023.68</v>
      </c>
      <c r="F88" s="18">
        <v>775432.8</v>
      </c>
      <c r="G88" s="18"/>
      <c r="H88" s="17"/>
      <c r="I88" s="17"/>
      <c r="J88" s="17"/>
      <c r="K88" s="17">
        <f>SUM(D88:I88)</f>
        <v>2640847.0700000003</v>
      </c>
    </row>
    <row r="89" spans="1:11" x14ac:dyDescent="0.2">
      <c r="A89" s="9" t="s">
        <v>85</v>
      </c>
      <c r="B89" s="7">
        <v>86</v>
      </c>
      <c r="C89" s="16" t="s">
        <v>39</v>
      </c>
      <c r="D89" s="17"/>
      <c r="E89" s="18"/>
      <c r="F89" s="18"/>
      <c r="G89" s="18"/>
      <c r="H89" s="17"/>
      <c r="I89" s="17"/>
      <c r="J89" s="17"/>
      <c r="K89" s="17">
        <f>SUM(D89:I89)</f>
        <v>0</v>
      </c>
    </row>
    <row r="90" spans="1:11" x14ac:dyDescent="0.2">
      <c r="A90" s="9" t="s">
        <v>85</v>
      </c>
      <c r="B90" s="7">
        <v>87</v>
      </c>
      <c r="C90" s="16" t="s">
        <v>40</v>
      </c>
      <c r="D90" s="17"/>
      <c r="E90" s="18"/>
      <c r="F90" s="18"/>
      <c r="G90" s="18"/>
      <c r="H90" s="17"/>
      <c r="I90" s="17"/>
      <c r="J90" s="17"/>
      <c r="K90" s="17">
        <f>SUM(D90:I90)</f>
        <v>0</v>
      </c>
    </row>
    <row r="91" spans="1:11" x14ac:dyDescent="0.2">
      <c r="A91" s="9" t="s">
        <v>85</v>
      </c>
      <c r="B91" s="7">
        <v>88</v>
      </c>
      <c r="C91" s="19" t="s">
        <v>41</v>
      </c>
      <c r="D91" s="14">
        <f>SUM(D88,D90)</f>
        <v>1466390.59</v>
      </c>
      <c r="E91" s="15">
        <f t="shared" ref="E91:G91" si="44">SUM(E88,E90)</f>
        <v>399023.68</v>
      </c>
      <c r="F91" s="15">
        <f t="shared" si="44"/>
        <v>775432.8</v>
      </c>
      <c r="G91" s="15">
        <f t="shared" si="44"/>
        <v>0</v>
      </c>
      <c r="H91" s="14">
        <f t="shared" ref="H91:I91" si="45">SUM(H88,H90)</f>
        <v>0</v>
      </c>
      <c r="I91" s="14">
        <f t="shared" si="45"/>
        <v>0</v>
      </c>
      <c r="J91" s="14"/>
      <c r="K91" s="14">
        <f t="shared" ref="K91" si="46">SUM(K88,K90)</f>
        <v>2640847.0700000003</v>
      </c>
    </row>
    <row r="92" spans="1:11" x14ac:dyDescent="0.2">
      <c r="A92" s="9" t="s">
        <v>85</v>
      </c>
      <c r="B92" s="7">
        <v>89</v>
      </c>
      <c r="C92" s="19" t="s">
        <v>42</v>
      </c>
      <c r="D92" s="14">
        <f>SUM(D87,D89)</f>
        <v>0</v>
      </c>
      <c r="E92" s="15">
        <f t="shared" ref="E92:G92" si="47">SUM(E87,E89)</f>
        <v>0</v>
      </c>
      <c r="F92" s="15">
        <f t="shared" si="47"/>
        <v>56939.62</v>
      </c>
      <c r="G92" s="15">
        <f t="shared" si="47"/>
        <v>0</v>
      </c>
      <c r="H92" s="14">
        <f t="shared" ref="H92:I92" si="48">SUM(H87,H89)</f>
        <v>0</v>
      </c>
      <c r="I92" s="14">
        <f t="shared" si="48"/>
        <v>0</v>
      </c>
      <c r="J92" s="14"/>
      <c r="K92" s="14">
        <f t="shared" ref="K92" si="49">SUM(K87,K89)</f>
        <v>56939.62</v>
      </c>
    </row>
    <row r="93" spans="1:11" x14ac:dyDescent="0.2">
      <c r="A93" s="9" t="s">
        <v>85</v>
      </c>
      <c r="B93" s="7">
        <v>90</v>
      </c>
      <c r="C93" s="10" t="s">
        <v>43</v>
      </c>
      <c r="D93" s="17">
        <v>922590.7</v>
      </c>
      <c r="E93" s="18">
        <v>79557.31</v>
      </c>
      <c r="F93" s="18">
        <v>181495.91</v>
      </c>
      <c r="G93" s="18"/>
      <c r="H93" s="17"/>
      <c r="I93" s="17"/>
      <c r="J93" s="17"/>
      <c r="K93" s="17">
        <f t="shared" ref="K93:K98" si="50">SUM(D93:I93)</f>
        <v>1183643.92</v>
      </c>
    </row>
    <row r="94" spans="1:11" x14ac:dyDescent="0.2">
      <c r="A94" s="9" t="s">
        <v>85</v>
      </c>
      <c r="B94" s="7">
        <v>91</v>
      </c>
      <c r="C94" s="10" t="s">
        <v>44</v>
      </c>
      <c r="D94" s="17">
        <v>938.73</v>
      </c>
      <c r="E94" s="18">
        <v>1036.9100000000001</v>
      </c>
      <c r="F94" s="18">
        <v>80.209999999999994</v>
      </c>
      <c r="G94" s="18"/>
      <c r="H94" s="17"/>
      <c r="I94" s="17"/>
      <c r="J94" s="17"/>
      <c r="K94" s="17">
        <f t="shared" si="50"/>
        <v>2055.85</v>
      </c>
    </row>
    <row r="95" spans="1:11" ht="22.8" x14ac:dyDescent="0.2">
      <c r="A95" s="9" t="s">
        <v>85</v>
      </c>
      <c r="B95" s="7">
        <v>92</v>
      </c>
      <c r="C95" s="10" t="s">
        <v>45</v>
      </c>
      <c r="D95" s="17">
        <v>173807.49</v>
      </c>
      <c r="E95" s="18">
        <v>3721.05</v>
      </c>
      <c r="F95" s="18">
        <v>104598.95</v>
      </c>
      <c r="G95" s="18"/>
      <c r="H95" s="17"/>
      <c r="I95" s="17"/>
      <c r="J95" s="17"/>
      <c r="K95" s="17">
        <f t="shared" si="50"/>
        <v>282127.49</v>
      </c>
    </row>
    <row r="96" spans="1:11" x14ac:dyDescent="0.2">
      <c r="A96" s="9" t="s">
        <v>85</v>
      </c>
      <c r="B96" s="7">
        <v>93</v>
      </c>
      <c r="C96" s="20" t="s">
        <v>46</v>
      </c>
      <c r="D96" s="17"/>
      <c r="E96" s="18"/>
      <c r="F96" s="18"/>
      <c r="G96" s="18"/>
      <c r="H96" s="17"/>
      <c r="I96" s="17"/>
      <c r="J96" s="17"/>
      <c r="K96" s="17">
        <f t="shared" si="50"/>
        <v>0</v>
      </c>
    </row>
    <row r="97" spans="1:11" x14ac:dyDescent="0.2">
      <c r="A97" s="9" t="s">
        <v>85</v>
      </c>
      <c r="B97" s="7">
        <v>94</v>
      </c>
      <c r="C97" s="20" t="s">
        <v>47</v>
      </c>
      <c r="D97" s="17"/>
      <c r="E97" s="18"/>
      <c r="F97" s="18"/>
      <c r="G97" s="18"/>
      <c r="H97" s="17"/>
      <c r="I97" s="17"/>
      <c r="J97" s="17"/>
      <c r="K97" s="17">
        <f t="shared" si="50"/>
        <v>0</v>
      </c>
    </row>
    <row r="98" spans="1:11" x14ac:dyDescent="0.2">
      <c r="A98" s="9" t="s">
        <v>85</v>
      </c>
      <c r="B98" s="7">
        <v>95</v>
      </c>
      <c r="C98" s="20" t="s">
        <v>48</v>
      </c>
      <c r="D98" s="17"/>
      <c r="E98" s="18"/>
      <c r="F98" s="18"/>
      <c r="G98" s="18"/>
      <c r="H98" s="17"/>
      <c r="I98" s="17"/>
      <c r="J98" s="17"/>
      <c r="K98" s="17">
        <f t="shared" si="50"/>
        <v>0</v>
      </c>
    </row>
    <row r="99" spans="1:11" x14ac:dyDescent="0.2">
      <c r="A99" s="9"/>
      <c r="B99" s="7">
        <v>96</v>
      </c>
      <c r="C99" s="21" t="s">
        <v>49</v>
      </c>
      <c r="D99" s="11">
        <f t="shared" ref="D99:G99" si="51">SUM(D81,D93,D94,D95)</f>
        <v>2926316.3899999997</v>
      </c>
      <c r="E99" s="12">
        <f t="shared" si="51"/>
        <v>590340.57000000007</v>
      </c>
      <c r="F99" s="12">
        <f t="shared" si="51"/>
        <v>1512488.0299999998</v>
      </c>
      <c r="G99" s="12">
        <f t="shared" si="51"/>
        <v>0</v>
      </c>
      <c r="H99" s="11">
        <f t="shared" ref="H99:I99" si="52">SUM(H81,H93,H94,H95)</f>
        <v>0</v>
      </c>
      <c r="I99" s="11">
        <f t="shared" si="52"/>
        <v>0</v>
      </c>
      <c r="J99" s="11"/>
      <c r="K99" s="11">
        <f t="shared" ref="K99" si="53">SUM(K81,K93,K94,K95)</f>
        <v>5029144.99</v>
      </c>
    </row>
    <row r="100" spans="1:11" x14ac:dyDescent="0.2">
      <c r="A100" s="9" t="s">
        <v>85</v>
      </c>
      <c r="B100" s="7">
        <v>97</v>
      </c>
      <c r="C100" s="20" t="s">
        <v>50</v>
      </c>
      <c r="D100" s="17">
        <v>719.16</v>
      </c>
      <c r="E100" s="18">
        <v>6168.41</v>
      </c>
      <c r="F100" s="18">
        <v>16294.29</v>
      </c>
      <c r="G100" s="18"/>
      <c r="H100" s="17"/>
      <c r="I100" s="17"/>
      <c r="J100" s="17"/>
      <c r="K100" s="17">
        <f>SUM(D100:I100)</f>
        <v>23181.86</v>
      </c>
    </row>
    <row r="101" spans="1:11" ht="22.8" x14ac:dyDescent="0.2">
      <c r="A101" s="9" t="s">
        <v>85</v>
      </c>
      <c r="B101" s="7">
        <v>98</v>
      </c>
      <c r="C101" s="20" t="s">
        <v>51</v>
      </c>
      <c r="D101" s="17"/>
      <c r="E101" s="18"/>
      <c r="F101" s="18"/>
      <c r="G101" s="18"/>
      <c r="H101" s="17"/>
      <c r="I101" s="17"/>
      <c r="J101" s="17"/>
      <c r="K101" s="17">
        <f>SUM(D101:I101)</f>
        <v>0</v>
      </c>
    </row>
    <row r="102" spans="1:11" ht="22.8" x14ac:dyDescent="0.2">
      <c r="A102" s="9" t="s">
        <v>85</v>
      </c>
      <c r="B102" s="7">
        <v>99</v>
      </c>
      <c r="C102" s="20" t="s">
        <v>52</v>
      </c>
      <c r="D102" s="17"/>
      <c r="E102" s="18"/>
      <c r="F102" s="18"/>
      <c r="G102" s="18"/>
      <c r="H102" s="17"/>
      <c r="I102" s="17"/>
      <c r="J102" s="17"/>
      <c r="K102" s="17">
        <f>SUM(D102:I102)</f>
        <v>0</v>
      </c>
    </row>
    <row r="103" spans="1:11" ht="22.8" x14ac:dyDescent="0.2">
      <c r="A103" s="9" t="s">
        <v>85</v>
      </c>
      <c r="B103" s="7">
        <v>100</v>
      </c>
      <c r="C103" s="20" t="s">
        <v>53</v>
      </c>
      <c r="D103" s="17"/>
      <c r="E103" s="18"/>
      <c r="F103" s="18"/>
      <c r="G103" s="18"/>
      <c r="H103" s="17"/>
      <c r="I103" s="17"/>
      <c r="J103" s="17"/>
      <c r="K103" s="17">
        <f>SUM(D103:I103)</f>
        <v>0</v>
      </c>
    </row>
    <row r="104" spans="1:11" ht="22.8" x14ac:dyDescent="0.2">
      <c r="A104" s="9" t="s">
        <v>85</v>
      </c>
      <c r="B104" s="7">
        <v>101</v>
      </c>
      <c r="C104" s="20" t="s">
        <v>54</v>
      </c>
      <c r="D104" s="17">
        <v>20068.650000000001</v>
      </c>
      <c r="E104" s="18"/>
      <c r="F104" s="18">
        <v>11734.82</v>
      </c>
      <c r="G104" s="18"/>
      <c r="H104" s="17"/>
      <c r="I104" s="17"/>
      <c r="J104" s="17"/>
      <c r="K104" s="17">
        <f>SUM(D104:I104)</f>
        <v>31803.47</v>
      </c>
    </row>
    <row r="105" spans="1:11" x14ac:dyDescent="0.2">
      <c r="A105" s="9"/>
      <c r="B105" s="7">
        <v>102</v>
      </c>
      <c r="C105" s="21" t="s">
        <v>55</v>
      </c>
      <c r="D105" s="11">
        <f>SUM(D100:D104)</f>
        <v>20787.810000000001</v>
      </c>
      <c r="E105" s="12">
        <f t="shared" ref="E105:G105" si="54">SUM(E100:E104)</f>
        <v>6168.41</v>
      </c>
      <c r="F105" s="12">
        <f t="shared" si="54"/>
        <v>28029.11</v>
      </c>
      <c r="G105" s="12">
        <f t="shared" si="54"/>
        <v>0</v>
      </c>
      <c r="H105" s="11">
        <f t="shared" ref="H105:I105" si="55">SUM(H100:H104)</f>
        <v>0</v>
      </c>
      <c r="I105" s="11">
        <f t="shared" si="55"/>
        <v>0</v>
      </c>
      <c r="J105" s="11"/>
      <c r="K105" s="11">
        <f t="shared" ref="K105" si="56">SUM(K100:K104)</f>
        <v>54985.33</v>
      </c>
    </row>
    <row r="106" spans="1:11" x14ac:dyDescent="0.2">
      <c r="A106" s="9"/>
      <c r="B106" s="7">
        <v>103</v>
      </c>
      <c r="C106" s="21" t="s">
        <v>56</v>
      </c>
      <c r="D106" s="11">
        <f>D99-D105</f>
        <v>2905528.5799999996</v>
      </c>
      <c r="E106" s="12">
        <f t="shared" ref="E106:G106" si="57">E99-E105</f>
        <v>584172.16</v>
      </c>
      <c r="F106" s="12">
        <f t="shared" si="57"/>
        <v>1484458.9199999997</v>
      </c>
      <c r="G106" s="12">
        <f t="shared" si="57"/>
        <v>0</v>
      </c>
      <c r="H106" s="11">
        <f t="shared" ref="H106:I106" si="58">H99-H105</f>
        <v>0</v>
      </c>
      <c r="I106" s="11">
        <f t="shared" si="58"/>
        <v>0</v>
      </c>
      <c r="J106" s="11"/>
      <c r="K106" s="11">
        <f t="shared" ref="K106" si="59">K99-K105</f>
        <v>4974159.66</v>
      </c>
    </row>
    <row r="107" spans="1:11" x14ac:dyDescent="0.2">
      <c r="A107" s="9" t="s">
        <v>85</v>
      </c>
      <c r="B107" s="7">
        <v>104</v>
      </c>
      <c r="C107" s="22" t="s">
        <v>57</v>
      </c>
      <c r="D107" s="23"/>
      <c r="E107" s="24"/>
      <c r="F107" s="24"/>
      <c r="G107" s="24"/>
      <c r="H107" s="23"/>
      <c r="I107" s="23"/>
      <c r="J107" s="23"/>
      <c r="K107" s="23">
        <f t="shared" ref="K107:K112" si="60">SUM(D107:I107)</f>
        <v>0</v>
      </c>
    </row>
    <row r="108" spans="1:11" x14ac:dyDescent="0.2">
      <c r="A108" s="9" t="s">
        <v>85</v>
      </c>
      <c r="B108" s="7">
        <v>105</v>
      </c>
      <c r="C108" s="138" t="s">
        <v>129</v>
      </c>
      <c r="D108" s="23">
        <v>126136.28029338599</v>
      </c>
      <c r="E108" s="24">
        <v>9631.7671564156008</v>
      </c>
      <c r="F108" s="24">
        <v>7073.1222782956002</v>
      </c>
      <c r="G108" s="24"/>
      <c r="H108" s="23"/>
      <c r="I108" s="23"/>
      <c r="J108" s="23"/>
      <c r="K108" s="23">
        <f t="shared" si="60"/>
        <v>142841.16972809719</v>
      </c>
    </row>
    <row r="109" spans="1:11" x14ac:dyDescent="0.2">
      <c r="A109" s="9" t="s">
        <v>85</v>
      </c>
      <c r="B109" s="7">
        <v>106</v>
      </c>
      <c r="C109" s="138" t="s">
        <v>130</v>
      </c>
      <c r="D109" s="23">
        <v>437491.04657250002</v>
      </c>
      <c r="E109" s="24">
        <v>6508.9423307173001</v>
      </c>
      <c r="F109" s="24">
        <v>195.5476236696</v>
      </c>
      <c r="G109" s="24"/>
      <c r="H109" s="23"/>
      <c r="I109" s="23"/>
      <c r="J109" s="23"/>
      <c r="K109" s="23">
        <f t="shared" si="60"/>
        <v>444195.53652688692</v>
      </c>
    </row>
    <row r="110" spans="1:11" x14ac:dyDescent="0.2">
      <c r="A110" s="9" t="s">
        <v>85</v>
      </c>
      <c r="B110" s="7">
        <v>107</v>
      </c>
      <c r="C110" s="138" t="s">
        <v>131</v>
      </c>
      <c r="D110" s="23">
        <v>39151.715806451597</v>
      </c>
      <c r="E110" s="24">
        <v>14086.331612903199</v>
      </c>
      <c r="F110" s="24">
        <v>11600.508387096799</v>
      </c>
      <c r="G110" s="24"/>
      <c r="H110" s="23"/>
      <c r="I110" s="23"/>
      <c r="J110" s="23"/>
      <c r="K110" s="23">
        <f t="shared" si="60"/>
        <v>64838.555806451601</v>
      </c>
    </row>
    <row r="111" spans="1:11" x14ac:dyDescent="0.2">
      <c r="A111" s="9" t="s">
        <v>85</v>
      </c>
      <c r="B111" s="7">
        <v>108</v>
      </c>
      <c r="C111" s="138" t="s">
        <v>132</v>
      </c>
      <c r="D111" s="23">
        <v>49342.854410382301</v>
      </c>
      <c r="E111" s="24">
        <v>3767.8206730710999</v>
      </c>
      <c r="F111" s="24">
        <v>2766.9124378252</v>
      </c>
      <c r="G111" s="24"/>
      <c r="H111" s="23"/>
      <c r="I111" s="23"/>
      <c r="J111" s="23"/>
      <c r="K111" s="23">
        <f t="shared" si="60"/>
        <v>55877.587521278605</v>
      </c>
    </row>
    <row r="112" spans="1:11" x14ac:dyDescent="0.2">
      <c r="A112" s="9" t="s">
        <v>85</v>
      </c>
      <c r="B112" s="7">
        <v>109</v>
      </c>
      <c r="C112" s="138" t="s">
        <v>133</v>
      </c>
      <c r="D112" s="23">
        <v>14611.654706503699</v>
      </c>
      <c r="E112" s="24">
        <v>2947.6828266272</v>
      </c>
      <c r="F112" s="24">
        <v>7552.1406084460004</v>
      </c>
      <c r="G112" s="24"/>
      <c r="H112" s="23"/>
      <c r="I112" s="23"/>
      <c r="J112" s="23"/>
      <c r="K112" s="23">
        <f t="shared" si="60"/>
        <v>25111.478141576899</v>
      </c>
    </row>
    <row r="113" spans="1:11" ht="22.8" x14ac:dyDescent="0.2">
      <c r="A113" s="9"/>
      <c r="B113" s="7">
        <v>110</v>
      </c>
      <c r="C113" s="22" t="s">
        <v>134</v>
      </c>
      <c r="D113" s="14">
        <f>SUM(D108:D112)</f>
        <v>666733.55178922368</v>
      </c>
      <c r="E113" s="14">
        <f t="shared" ref="E113:I113" si="61">SUM(E108:E112)</f>
        <v>36942.5445997344</v>
      </c>
      <c r="F113" s="14">
        <f t="shared" si="61"/>
        <v>29188.231335333203</v>
      </c>
      <c r="G113" s="14">
        <f t="shared" si="61"/>
        <v>0</v>
      </c>
      <c r="H113" s="14">
        <f t="shared" ref="H113" si="62">SUM(H108:H112)</f>
        <v>0</v>
      </c>
      <c r="I113" s="14">
        <f t="shared" si="61"/>
        <v>0</v>
      </c>
      <c r="J113" s="14"/>
      <c r="K113" s="14">
        <f t="shared" ref="K113" si="63">SUM(K114:K117)</f>
        <v>0</v>
      </c>
    </row>
    <row r="114" spans="1:11" x14ac:dyDescent="0.2">
      <c r="A114" s="9" t="s">
        <v>85</v>
      </c>
      <c r="B114" s="7">
        <v>111</v>
      </c>
      <c r="C114" s="25" t="s">
        <v>58</v>
      </c>
      <c r="D114" s="27" t="s">
        <v>144</v>
      </c>
      <c r="E114" s="28" t="s">
        <v>144</v>
      </c>
      <c r="F114" s="28" t="s">
        <v>144</v>
      </c>
      <c r="G114" s="28"/>
      <c r="H114" s="27"/>
      <c r="I114" s="27"/>
      <c r="J114" s="27"/>
      <c r="K114" s="29"/>
    </row>
    <row r="115" spans="1:11" x14ac:dyDescent="0.2">
      <c r="A115" s="9" t="s">
        <v>85</v>
      </c>
      <c r="B115" s="7">
        <v>112</v>
      </c>
      <c r="C115" s="26" t="s">
        <v>59</v>
      </c>
      <c r="D115" s="27" t="s">
        <v>144</v>
      </c>
      <c r="E115" s="28" t="s">
        <v>144</v>
      </c>
      <c r="F115" s="28" t="s">
        <v>144</v>
      </c>
      <c r="G115" s="28"/>
      <c r="H115" s="27"/>
      <c r="I115" s="27"/>
      <c r="J115" s="27"/>
      <c r="K115" s="29"/>
    </row>
    <row r="116" spans="1:11" x14ac:dyDescent="0.2">
      <c r="A116" s="9" t="s">
        <v>85</v>
      </c>
      <c r="B116" s="7">
        <v>113</v>
      </c>
      <c r="C116" s="26" t="s">
        <v>137</v>
      </c>
      <c r="D116" s="27" t="s">
        <v>142</v>
      </c>
      <c r="E116" s="28" t="s">
        <v>142</v>
      </c>
      <c r="F116" s="28" t="s">
        <v>142</v>
      </c>
      <c r="G116" s="28"/>
      <c r="H116" s="27"/>
      <c r="I116" s="27"/>
      <c r="J116" s="27"/>
      <c r="K116" s="29"/>
    </row>
    <row r="117" spans="1:11" x14ac:dyDescent="0.2">
      <c r="A117" s="9" t="s">
        <v>85</v>
      </c>
      <c r="B117" s="7">
        <v>114</v>
      </c>
      <c r="C117" s="26" t="s">
        <v>60</v>
      </c>
      <c r="D117" s="27" t="s">
        <v>143</v>
      </c>
      <c r="E117" s="28" t="s">
        <v>143</v>
      </c>
      <c r="F117" s="28" t="s">
        <v>143</v>
      </c>
      <c r="G117" s="28"/>
      <c r="H117" s="27"/>
      <c r="I117" s="27"/>
      <c r="J117" s="27"/>
      <c r="K117" s="29"/>
    </row>
    <row r="118" spans="1:11" x14ac:dyDescent="0.2">
      <c r="A118" s="9" t="s">
        <v>85</v>
      </c>
      <c r="B118" s="7">
        <v>115</v>
      </c>
      <c r="C118" s="26" t="s">
        <v>61</v>
      </c>
      <c r="D118" s="141">
        <v>1222835</v>
      </c>
      <c r="E118" s="142">
        <v>145336</v>
      </c>
      <c r="F118" s="142">
        <v>884933</v>
      </c>
      <c r="G118" s="142"/>
      <c r="H118" s="141"/>
      <c r="I118" s="141"/>
      <c r="J118" s="141"/>
      <c r="K118" s="141"/>
    </row>
    <row r="119" spans="1:11" x14ac:dyDescent="0.2">
      <c r="A119" s="9"/>
      <c r="B119" s="7">
        <v>116</v>
      </c>
      <c r="C119" s="22" t="s">
        <v>62</v>
      </c>
      <c r="D119" s="30"/>
      <c r="E119" s="31"/>
      <c r="F119" s="31"/>
      <c r="G119" s="31"/>
      <c r="H119" s="30"/>
      <c r="I119" s="30"/>
      <c r="J119" s="30"/>
      <c r="K119" s="30"/>
    </row>
    <row r="120" spans="1:11" ht="34.200000000000003" x14ac:dyDescent="0.2">
      <c r="A120" s="9"/>
      <c r="B120" s="7">
        <v>117</v>
      </c>
      <c r="C120" s="21" t="s">
        <v>63</v>
      </c>
      <c r="D120" s="32"/>
      <c r="E120" s="33"/>
      <c r="F120" s="33"/>
      <c r="G120" s="33"/>
      <c r="H120" s="32"/>
      <c r="I120" s="32"/>
      <c r="J120" s="32"/>
      <c r="K120" s="32"/>
    </row>
    <row r="121" spans="1:11" x14ac:dyDescent="0.2">
      <c r="A121" s="9" t="s">
        <v>86</v>
      </c>
      <c r="B121" s="7">
        <v>118</v>
      </c>
      <c r="C121" s="34" t="s">
        <v>65</v>
      </c>
      <c r="D121" s="35"/>
      <c r="E121" s="36"/>
      <c r="F121" s="36"/>
      <c r="G121" s="36"/>
      <c r="H121" s="35"/>
      <c r="I121" s="35"/>
      <c r="J121" s="35"/>
      <c r="K121" s="35"/>
    </row>
    <row r="122" spans="1:11" x14ac:dyDescent="0.2">
      <c r="A122" s="9" t="s">
        <v>87</v>
      </c>
      <c r="B122" s="7">
        <v>119</v>
      </c>
      <c r="C122" s="34" t="s">
        <v>67</v>
      </c>
      <c r="D122" s="37"/>
      <c r="E122" s="38"/>
      <c r="F122" s="38"/>
      <c r="G122" s="38"/>
      <c r="H122" s="37"/>
      <c r="I122" s="37"/>
      <c r="J122" s="37"/>
      <c r="K122" s="37"/>
    </row>
    <row r="123" spans="1:11" x14ac:dyDescent="0.2">
      <c r="A123" s="9" t="s">
        <v>87</v>
      </c>
      <c r="B123" s="7">
        <v>120</v>
      </c>
      <c r="C123" s="34" t="s">
        <v>68</v>
      </c>
      <c r="D123" s="39"/>
      <c r="E123" s="40"/>
      <c r="F123" s="40"/>
      <c r="G123" s="40"/>
      <c r="H123" s="39"/>
      <c r="I123" s="39"/>
      <c r="J123" s="39"/>
      <c r="K123" s="39"/>
    </row>
    <row r="124" spans="1:11" x14ac:dyDescent="0.2">
      <c r="A124" s="9"/>
      <c r="B124" s="7">
        <v>121</v>
      </c>
    </row>
    <row r="125" spans="1:11" x14ac:dyDescent="0.2">
      <c r="A125" s="9"/>
      <c r="B125" s="7">
        <v>122</v>
      </c>
      <c r="C125" s="16"/>
    </row>
    <row r="126" spans="1:11" x14ac:dyDescent="0.2">
      <c r="A126" s="9" t="s">
        <v>85</v>
      </c>
      <c r="B126" s="7">
        <v>123</v>
      </c>
      <c r="C126" s="16" t="s">
        <v>69</v>
      </c>
      <c r="D126" s="41">
        <v>362588.88</v>
      </c>
      <c r="E126" s="42">
        <v>107001.62</v>
      </c>
      <c r="F126" s="42">
        <v>393940.54</v>
      </c>
      <c r="G126" s="42"/>
      <c r="H126" s="41"/>
      <c r="I126" s="41"/>
      <c r="J126" s="41"/>
      <c r="K126" s="41"/>
    </row>
    <row r="127" spans="1:11" x14ac:dyDescent="0.2">
      <c r="A127" s="9" t="s">
        <v>85</v>
      </c>
      <c r="B127" s="7">
        <v>124</v>
      </c>
      <c r="C127" s="16" t="s">
        <v>70</v>
      </c>
      <c r="D127" s="43">
        <v>2.6516000000000002</v>
      </c>
      <c r="E127" s="44">
        <v>0.58740000000000003</v>
      </c>
      <c r="F127" s="44">
        <v>2.4407000000000001</v>
      </c>
      <c r="G127" s="44"/>
      <c r="H127" s="43"/>
      <c r="I127" s="43"/>
      <c r="J127" s="43"/>
      <c r="K127" s="43"/>
    </row>
    <row r="128" spans="1:11" ht="22.8" x14ac:dyDescent="0.2">
      <c r="A128" s="9" t="s">
        <v>85</v>
      </c>
      <c r="B128" s="7">
        <v>125</v>
      </c>
      <c r="C128" s="45" t="s">
        <v>71</v>
      </c>
      <c r="D128" s="46">
        <v>136742.59400000001</v>
      </c>
      <c r="E128" s="47">
        <v>182169.29569999999</v>
      </c>
      <c r="F128" s="47">
        <v>161404.39720000001</v>
      </c>
      <c r="G128" s="47"/>
      <c r="H128" s="46"/>
      <c r="I128" s="46"/>
      <c r="J128" s="46"/>
      <c r="K128" s="46"/>
    </row>
    <row r="129" spans="1:11" x14ac:dyDescent="0.2">
      <c r="A129" s="9"/>
      <c r="B129" s="7">
        <v>126</v>
      </c>
    </row>
    <row r="130" spans="1:11" x14ac:dyDescent="0.2">
      <c r="A130" s="9" t="s">
        <v>85</v>
      </c>
      <c r="B130" s="7">
        <v>127</v>
      </c>
      <c r="C130" s="16" t="s">
        <v>72</v>
      </c>
      <c r="D130" s="41"/>
      <c r="E130" s="42"/>
      <c r="F130" s="42"/>
      <c r="G130" s="42"/>
      <c r="H130" s="41"/>
      <c r="I130" s="41"/>
      <c r="J130" s="41"/>
      <c r="K130" s="41"/>
    </row>
    <row r="131" spans="1:11" x14ac:dyDescent="0.2">
      <c r="A131" s="9" t="s">
        <v>85</v>
      </c>
      <c r="B131" s="7">
        <v>128</v>
      </c>
      <c r="C131" s="16" t="s">
        <v>73</v>
      </c>
      <c r="D131" s="43"/>
      <c r="E131" s="44"/>
      <c r="F131" s="44"/>
      <c r="G131" s="44"/>
      <c r="H131" s="43"/>
      <c r="I131" s="43"/>
      <c r="J131" s="43"/>
      <c r="K131" s="43"/>
    </row>
    <row r="132" spans="1:11" x14ac:dyDescent="0.2">
      <c r="A132" s="9" t="s">
        <v>85</v>
      </c>
      <c r="B132" s="7">
        <v>129</v>
      </c>
      <c r="C132" s="45" t="s">
        <v>74</v>
      </c>
      <c r="D132" s="46"/>
      <c r="E132" s="47"/>
      <c r="F132" s="47"/>
      <c r="G132" s="47"/>
      <c r="H132" s="46"/>
      <c r="I132" s="46"/>
      <c r="J132" s="46"/>
      <c r="K132" s="46"/>
    </row>
    <row r="133" spans="1:11" x14ac:dyDescent="0.2">
      <c r="A133" s="9"/>
      <c r="B133" s="7">
        <v>130</v>
      </c>
    </row>
    <row r="134" spans="1:11" x14ac:dyDescent="0.2">
      <c r="A134" s="9" t="s">
        <v>85</v>
      </c>
      <c r="B134" s="7">
        <v>131</v>
      </c>
      <c r="C134" s="16" t="s">
        <v>75</v>
      </c>
      <c r="D134" s="41"/>
      <c r="E134" s="42"/>
      <c r="F134" s="42"/>
      <c r="G134" s="42"/>
      <c r="H134" s="41"/>
      <c r="I134" s="41"/>
      <c r="J134" s="41"/>
      <c r="K134" s="41"/>
    </row>
    <row r="135" spans="1:11" x14ac:dyDescent="0.2">
      <c r="A135" s="9" t="s">
        <v>85</v>
      </c>
      <c r="B135" s="7">
        <v>132</v>
      </c>
      <c r="C135" s="16" t="s">
        <v>76</v>
      </c>
      <c r="D135" s="43"/>
      <c r="E135" s="44"/>
      <c r="F135" s="44"/>
      <c r="G135" s="44"/>
      <c r="H135" s="43"/>
      <c r="I135" s="43"/>
      <c r="J135" s="43"/>
      <c r="K135" s="43"/>
    </row>
    <row r="136" spans="1:11" x14ac:dyDescent="0.2">
      <c r="A136" s="9" t="s">
        <v>85</v>
      </c>
      <c r="B136" s="7">
        <v>133</v>
      </c>
      <c r="C136" s="48" t="s">
        <v>77</v>
      </c>
      <c r="D136" s="46"/>
      <c r="E136" s="47"/>
      <c r="F136" s="47"/>
      <c r="G136" s="47"/>
      <c r="H136" s="46"/>
      <c r="I136" s="46"/>
      <c r="J136" s="46"/>
      <c r="K136" s="46"/>
    </row>
    <row r="137" spans="1:11" x14ac:dyDescent="0.2">
      <c r="A137" s="9"/>
      <c r="B137" s="7">
        <v>134</v>
      </c>
    </row>
    <row r="138" spans="1:11" x14ac:dyDescent="0.2">
      <c r="A138" s="9" t="s">
        <v>85</v>
      </c>
      <c r="B138" s="7">
        <v>135</v>
      </c>
      <c r="C138" s="16" t="s">
        <v>78</v>
      </c>
      <c r="D138" s="41"/>
      <c r="E138" s="42"/>
      <c r="F138" s="42"/>
      <c r="G138" s="42"/>
      <c r="H138" s="41"/>
      <c r="I138" s="41"/>
      <c r="J138" s="41"/>
      <c r="K138" s="41"/>
    </row>
    <row r="139" spans="1:11" x14ac:dyDescent="0.2">
      <c r="A139" s="9" t="s">
        <v>85</v>
      </c>
      <c r="B139" s="7">
        <v>136</v>
      </c>
      <c r="C139" s="16" t="s">
        <v>79</v>
      </c>
      <c r="D139" s="43"/>
      <c r="E139" s="44"/>
      <c r="F139" s="44"/>
      <c r="G139" s="44"/>
      <c r="H139" s="43"/>
      <c r="I139" s="43"/>
      <c r="J139" s="43"/>
      <c r="K139" s="43"/>
    </row>
    <row r="140" spans="1:11" x14ac:dyDescent="0.2">
      <c r="A140" s="9" t="s">
        <v>85</v>
      </c>
      <c r="B140" s="7">
        <v>137</v>
      </c>
      <c r="C140" s="48" t="s">
        <v>80</v>
      </c>
      <c r="D140" s="46"/>
      <c r="E140" s="47"/>
      <c r="F140" s="47"/>
      <c r="G140" s="47"/>
      <c r="H140" s="46"/>
      <c r="I140" s="46"/>
      <c r="J140" s="46"/>
      <c r="K140" s="46"/>
    </row>
    <row r="141" spans="1:11" x14ac:dyDescent="0.2">
      <c r="A141" s="9"/>
      <c r="B141" s="7">
        <v>138</v>
      </c>
    </row>
    <row r="142" spans="1:11" x14ac:dyDescent="0.2">
      <c r="A142" s="9" t="s">
        <v>85</v>
      </c>
      <c r="B142" s="7">
        <v>139</v>
      </c>
      <c r="C142" s="16" t="s">
        <v>81</v>
      </c>
      <c r="D142" s="41">
        <v>1446321.94</v>
      </c>
      <c r="E142" s="42">
        <v>399023.68</v>
      </c>
      <c r="F142" s="42">
        <v>763697.98</v>
      </c>
      <c r="G142" s="42"/>
      <c r="H142" s="41"/>
      <c r="I142" s="41"/>
      <c r="J142" s="41"/>
      <c r="K142" s="41"/>
    </row>
    <row r="143" spans="1:11" x14ac:dyDescent="0.2">
      <c r="A143" s="9" t="s">
        <v>85</v>
      </c>
      <c r="B143" s="7">
        <v>140</v>
      </c>
      <c r="C143" s="16" t="s">
        <v>82</v>
      </c>
      <c r="D143" s="43">
        <v>29.885300000000001</v>
      </c>
      <c r="E143" s="44">
        <v>7.2214</v>
      </c>
      <c r="F143" s="44">
        <v>19.094799999999999</v>
      </c>
      <c r="G143" s="44"/>
      <c r="H143" s="43"/>
      <c r="I143" s="43"/>
      <c r="J143" s="43"/>
      <c r="K143" s="43"/>
    </row>
    <row r="144" spans="1:11" x14ac:dyDescent="0.2">
      <c r="A144" s="9" t="s">
        <v>85</v>
      </c>
      <c r="B144" s="7">
        <v>141</v>
      </c>
      <c r="C144" s="48" t="s">
        <v>83</v>
      </c>
      <c r="D144" s="46">
        <v>48395.694300000003</v>
      </c>
      <c r="E144" s="47">
        <v>55255.461799999997</v>
      </c>
      <c r="F144" s="47">
        <v>39995.056900000003</v>
      </c>
      <c r="G144" s="47"/>
      <c r="H144" s="46"/>
      <c r="I144" s="46"/>
      <c r="J144" s="46"/>
      <c r="K144" s="46"/>
    </row>
    <row r="145" spans="1:11" x14ac:dyDescent="0.2">
      <c r="B145" s="7">
        <v>142</v>
      </c>
    </row>
    <row r="146" spans="1:11" x14ac:dyDescent="0.2">
      <c r="A146" s="9" t="s">
        <v>85</v>
      </c>
      <c r="B146" s="7">
        <v>143</v>
      </c>
      <c r="C146" s="181" t="s">
        <v>165</v>
      </c>
      <c r="D146" s="17">
        <v>33464.33</v>
      </c>
      <c r="E146" s="18">
        <v>23888.65</v>
      </c>
      <c r="F146" s="18">
        <v>1385.84</v>
      </c>
      <c r="G146" s="18"/>
      <c r="H146" s="17"/>
      <c r="I146" s="17"/>
      <c r="J146" s="17"/>
      <c r="K146" s="17"/>
    </row>
    <row r="147" spans="1:11" x14ac:dyDescent="0.2">
      <c r="A147" s="9" t="s">
        <v>85</v>
      </c>
      <c r="B147" s="7">
        <v>144</v>
      </c>
      <c r="C147" s="181" t="s">
        <v>166</v>
      </c>
      <c r="D147" s="17">
        <v>789.67</v>
      </c>
      <c r="E147" s="18">
        <v>2993.59</v>
      </c>
      <c r="F147" s="18"/>
      <c r="G147" s="18"/>
      <c r="H147" s="17"/>
      <c r="I147" s="17"/>
      <c r="J147" s="17"/>
      <c r="K147" s="17"/>
    </row>
    <row r="148" spans="1:11" x14ac:dyDescent="0.2">
      <c r="A148" s="9" t="s">
        <v>85</v>
      </c>
      <c r="B148" s="7">
        <v>145</v>
      </c>
      <c r="C148" s="181" t="s">
        <v>167</v>
      </c>
      <c r="D148" s="17"/>
      <c r="E148" s="18"/>
      <c r="F148" s="18"/>
      <c r="G148" s="18"/>
      <c r="H148" s="17"/>
      <c r="I148" s="17"/>
      <c r="J148" s="17"/>
      <c r="K148" s="17"/>
    </row>
    <row r="149" spans="1:11" x14ac:dyDescent="0.2">
      <c r="A149" s="9" t="s">
        <v>85</v>
      </c>
      <c r="B149" s="7">
        <v>146</v>
      </c>
      <c r="C149" s="181" t="s">
        <v>168</v>
      </c>
      <c r="D149" s="17"/>
      <c r="E149" s="18"/>
      <c r="F149" s="18"/>
      <c r="G149" s="18"/>
      <c r="H149" s="17"/>
      <c r="I149" s="17"/>
      <c r="J149" s="17"/>
      <c r="K149" s="17"/>
    </row>
    <row r="150" spans="1:11" x14ac:dyDescent="0.2">
      <c r="A150" s="9" t="s">
        <v>85</v>
      </c>
      <c r="B150" s="7">
        <v>147</v>
      </c>
      <c r="C150" s="181" t="s">
        <v>169</v>
      </c>
      <c r="D150" s="17">
        <v>19226.189999999999</v>
      </c>
      <c r="E150" s="18"/>
      <c r="F150" s="18"/>
      <c r="G150" s="18"/>
      <c r="H150" s="17"/>
      <c r="I150" s="17"/>
      <c r="J150" s="17"/>
      <c r="K150" s="17"/>
    </row>
    <row r="151" spans="1:11" x14ac:dyDescent="0.2">
      <c r="A151" s="9" t="s">
        <v>85</v>
      </c>
      <c r="B151" s="7">
        <v>148</v>
      </c>
      <c r="C151" s="181" t="s">
        <v>170</v>
      </c>
      <c r="D151" s="17">
        <v>6083.76</v>
      </c>
      <c r="E151" s="18"/>
      <c r="F151" s="18"/>
      <c r="G151" s="18"/>
      <c r="H151" s="17"/>
      <c r="I151" s="17"/>
      <c r="J151" s="17"/>
      <c r="K151" s="17"/>
    </row>
    <row r="152" spans="1:11" x14ac:dyDescent="0.2">
      <c r="A152" s="9" t="s">
        <v>85</v>
      </c>
      <c r="B152" s="7">
        <v>149</v>
      </c>
      <c r="C152" s="181" t="s">
        <v>171</v>
      </c>
      <c r="D152" s="17">
        <v>796072.85</v>
      </c>
      <c r="E152" s="18">
        <v>39419.42</v>
      </c>
      <c r="F152" s="18">
        <v>46621.77</v>
      </c>
      <c r="G152" s="18"/>
      <c r="H152" s="17"/>
      <c r="I152" s="17"/>
      <c r="J152" s="17"/>
      <c r="K152" s="17"/>
    </row>
    <row r="153" spans="1:11" x14ac:dyDescent="0.2">
      <c r="A153" s="9" t="s">
        <v>85</v>
      </c>
      <c r="B153" s="7">
        <v>150</v>
      </c>
      <c r="C153" s="181" t="s">
        <v>172</v>
      </c>
      <c r="D153" s="17">
        <v>175159.35</v>
      </c>
      <c r="E153" s="18">
        <v>4246.6499999999996</v>
      </c>
      <c r="F153" s="18">
        <v>115741.5</v>
      </c>
      <c r="G153" s="18"/>
      <c r="H153" s="17"/>
      <c r="I153" s="17"/>
      <c r="J153" s="17"/>
      <c r="K153" s="17"/>
    </row>
    <row r="154" spans="1:11" x14ac:dyDescent="0.2">
      <c r="A154" s="9" t="s">
        <v>85</v>
      </c>
      <c r="B154" s="7">
        <v>151</v>
      </c>
      <c r="C154" s="181" t="s">
        <v>173</v>
      </c>
      <c r="D154" s="17">
        <v>66540.77</v>
      </c>
      <c r="E154" s="18">
        <v>13766.96</v>
      </c>
      <c r="F154" s="18">
        <v>122425.96</v>
      </c>
      <c r="G154" s="18"/>
      <c r="H154" s="17"/>
      <c r="I154" s="17"/>
      <c r="J154" s="17"/>
      <c r="K154" s="17"/>
    </row>
  </sheetData>
  <phoneticPr fontId="4" type="noConversion"/>
  <hyperlinks>
    <hyperlink ref="A2" location="'Fiche de contenu détaillée'!C12" display="Retour Fiche" xr:uid="{3193FE83-B36C-4692-B045-6E0FA31C9B73}"/>
  </hyperlinks>
  <pageMargins left="0.7" right="0.7" top="0.75" bottom="0.75" header="0.3" footer="0.3"/>
  <pageSetup paperSize="9" scale="4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pageSetUpPr fitToPage="1"/>
  </sheetPr>
  <dimension ref="B1:AC105"/>
  <sheetViews>
    <sheetView showGridLines="0" zoomScale="80" zoomScaleNormal="80" workbookViewId="0">
      <selection activeCell="D20" sqref="D20"/>
    </sheetView>
  </sheetViews>
  <sheetFormatPr baseColWidth="10" defaultColWidth="10.36328125" defaultRowHeight="12.6" outlineLevelRow="1" x14ac:dyDescent="0.2"/>
  <cols>
    <col min="1" max="1" width="1.90625" style="52" customWidth="1"/>
    <col min="2" max="2" width="2.453125" style="52" customWidth="1"/>
    <col min="3" max="3" width="30.7265625" style="52" customWidth="1"/>
    <col min="4" max="4" width="24.90625" style="52" customWidth="1"/>
    <col min="5" max="5" width="0.453125" style="52" customWidth="1"/>
    <col min="6" max="6" width="13.453125" style="52" bestFit="1" customWidth="1"/>
    <col min="7" max="7" width="0.453125" style="52" customWidth="1"/>
    <col min="8" max="8" width="10.36328125" style="52"/>
    <col min="9" max="9" width="4" style="52" bestFit="1" customWidth="1"/>
    <col min="10" max="10" width="13.453125" style="52" bestFit="1" customWidth="1"/>
    <col min="11" max="11" width="0.453125" style="52" customWidth="1"/>
    <col min="12" max="12" width="10.36328125" style="52"/>
    <col min="13" max="14" width="4.36328125" style="52" customWidth="1"/>
    <col min="15" max="15" width="6.36328125" style="52" bestFit="1" customWidth="1"/>
    <col min="16" max="16" width="11.453125" style="55" bestFit="1" customWidth="1"/>
    <col min="17" max="17" width="4.36328125" style="52" customWidth="1"/>
    <col min="18" max="18" width="12.26953125" style="52" customWidth="1"/>
    <col min="19" max="19" width="4.36328125" style="52" customWidth="1"/>
    <col min="20" max="20" width="13.08984375" style="52" customWidth="1"/>
    <col min="21" max="21" width="4.36328125" style="52" customWidth="1"/>
    <col min="22" max="22" width="11.08984375" style="52" customWidth="1"/>
    <col min="23" max="27" width="4.36328125" style="52" customWidth="1"/>
    <col min="28" max="16384" width="10.36328125" style="52"/>
  </cols>
  <sheetData>
    <row r="1" spans="2:29" ht="30" customHeight="1" x14ac:dyDescent="0.2">
      <c r="B1" s="283" t="s">
        <v>128</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C1" s="53"/>
    </row>
    <row r="2" spans="2:29" ht="31.5" customHeight="1" x14ac:dyDescent="0.2">
      <c r="B2" s="285">
        <v>2019</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row>
    <row r="3" spans="2:29" ht="14.4" x14ac:dyDescent="0.2">
      <c r="B3" s="54"/>
    </row>
    <row r="4" spans="2:29" ht="15" customHeight="1" x14ac:dyDescent="0.2">
      <c r="B4" s="287" t="s">
        <v>178</v>
      </c>
      <c r="C4" s="288"/>
      <c r="D4" s="288"/>
      <c r="E4" s="288"/>
      <c r="F4" s="288"/>
      <c r="G4" s="288"/>
      <c r="H4" s="288"/>
      <c r="I4" s="288"/>
      <c r="J4" s="288"/>
      <c r="K4" s="288"/>
      <c r="L4" s="288"/>
      <c r="M4" s="288"/>
      <c r="N4" s="288"/>
      <c r="O4" s="288"/>
      <c r="P4" s="288"/>
      <c r="Q4" s="288"/>
      <c r="R4" s="289"/>
      <c r="S4" s="56"/>
      <c r="T4" s="56"/>
      <c r="U4" s="56"/>
      <c r="V4" s="56"/>
      <c r="W4" s="56"/>
      <c r="X4" s="56"/>
      <c r="Y4" s="56"/>
      <c r="Z4" s="56"/>
      <c r="AA4" s="56"/>
    </row>
    <row r="5" spans="2:29" ht="15" customHeight="1" x14ac:dyDescent="0.2">
      <c r="B5" s="290"/>
      <c r="C5" s="291"/>
      <c r="D5" s="291"/>
      <c r="E5" s="291"/>
      <c r="F5" s="291"/>
      <c r="G5" s="291"/>
      <c r="H5" s="291"/>
      <c r="I5" s="291"/>
      <c r="J5" s="291"/>
      <c r="K5" s="291"/>
      <c r="L5" s="291"/>
      <c r="M5" s="291"/>
      <c r="N5" s="291"/>
      <c r="O5" s="291"/>
      <c r="P5" s="291"/>
      <c r="Q5" s="291"/>
      <c r="R5" s="292"/>
      <c r="S5" s="56"/>
      <c r="T5" s="56"/>
      <c r="U5" s="56"/>
      <c r="V5" s="56"/>
      <c r="W5" s="56"/>
      <c r="X5" s="56"/>
      <c r="Y5" s="56"/>
      <c r="Z5" s="56"/>
      <c r="AA5" s="56"/>
    </row>
    <row r="6" spans="2:29" ht="15" customHeight="1" x14ac:dyDescent="0.2">
      <c r="B6" s="290"/>
      <c r="C6" s="291"/>
      <c r="D6" s="291"/>
      <c r="E6" s="291"/>
      <c r="F6" s="291"/>
      <c r="G6" s="291"/>
      <c r="H6" s="291"/>
      <c r="I6" s="291"/>
      <c r="J6" s="291"/>
      <c r="K6" s="291"/>
      <c r="L6" s="291"/>
      <c r="M6" s="291"/>
      <c r="N6" s="291"/>
      <c r="O6" s="291"/>
      <c r="P6" s="291"/>
      <c r="Q6" s="291"/>
      <c r="R6" s="292"/>
      <c r="S6" s="56"/>
      <c r="T6" s="56"/>
      <c r="U6" s="56"/>
      <c r="V6" s="56"/>
      <c r="W6" s="56"/>
      <c r="X6" s="56"/>
      <c r="Y6" s="56"/>
      <c r="Z6" s="56"/>
      <c r="AA6" s="56"/>
    </row>
    <row r="7" spans="2:29" ht="15" customHeight="1" x14ac:dyDescent="0.2">
      <c r="B7" s="293"/>
      <c r="C7" s="294"/>
      <c r="D7" s="294"/>
      <c r="E7" s="294"/>
      <c r="F7" s="294"/>
      <c r="G7" s="294"/>
      <c r="H7" s="294"/>
      <c r="I7" s="294"/>
      <c r="J7" s="294"/>
      <c r="K7" s="294"/>
      <c r="L7" s="294"/>
      <c r="M7" s="294"/>
      <c r="N7" s="294"/>
      <c r="O7" s="294"/>
      <c r="P7" s="294"/>
      <c r="Q7" s="294"/>
      <c r="R7" s="295"/>
      <c r="S7" s="56"/>
      <c r="T7" s="56"/>
      <c r="U7" s="56"/>
      <c r="V7" s="144" t="str">
        <f>"Structure du coût de l'uo établissement pour la SAMT "&amp;$B$9</f>
        <v>Structure du coût de l'uo établissement pour la SAMT Imagerie (hors IRM et SCANNER)</v>
      </c>
      <c r="W7" s="56"/>
      <c r="X7" s="56"/>
      <c r="Y7" s="56"/>
      <c r="Z7" s="56"/>
      <c r="AA7" s="56"/>
    </row>
    <row r="9" spans="2:29" s="57" customFormat="1" ht="75" customHeight="1" x14ac:dyDescent="0.2">
      <c r="B9" s="296" t="s">
        <v>141</v>
      </c>
      <c r="C9" s="297"/>
      <c r="D9" s="298"/>
      <c r="F9" s="299" t="str">
        <f>"Données brutes et coûts décomposés de l'ES"
&amp;" "&amp;
"RTC "&amp;B2</f>
        <v>Données brutes et coûts décomposés de l'ES RTC 2019</v>
      </c>
      <c r="G9" s="300"/>
      <c r="H9" s="301"/>
      <c r="J9" s="299" t="str">
        <f>"Données brutes et coûts décomposés de l'ES"
&amp;" "&amp;
"RTC "&amp;B2-1</f>
        <v>Données brutes et coûts décomposés de l'ES RTC 2018</v>
      </c>
      <c r="K9" s="300"/>
      <c r="L9" s="301"/>
      <c r="O9" s="299" t="str">
        <f>"Evolution "&amp;B2&amp;"/"&amp;B2-1</f>
        <v>Evolution 2019/2018</v>
      </c>
      <c r="P9" s="301"/>
      <c r="R9" s="58" t="s">
        <v>88</v>
      </c>
    </row>
    <row r="10" spans="2:29" ht="14.4" x14ac:dyDescent="0.2">
      <c r="O10" s="59" t="s">
        <v>89</v>
      </c>
      <c r="P10" s="60" t="s">
        <v>90</v>
      </c>
      <c r="T10" s="57"/>
      <c r="U10" s="57"/>
      <c r="V10" s="57"/>
    </row>
    <row r="11" spans="2:29" ht="21.75" customHeight="1" x14ac:dyDescent="0.2">
      <c r="B11" s="302" t="s">
        <v>91</v>
      </c>
      <c r="C11" s="303"/>
      <c r="D11" s="304"/>
      <c r="E11" s="61"/>
      <c r="F11" s="305">
        <f>IFERROR(H52,"")</f>
        <v>1.6089676324900102</v>
      </c>
      <c r="G11" s="306"/>
      <c r="H11" s="307"/>
      <c r="I11" s="62"/>
      <c r="J11" s="305">
        <f>IFERROR(L52,"")</f>
        <v>1.7421389657017345</v>
      </c>
      <c r="K11" s="306"/>
      <c r="L11" s="307"/>
      <c r="M11" s="63"/>
      <c r="N11" s="63"/>
      <c r="O11" s="145">
        <f>IFERROR(F11/J11-1,"")</f>
        <v>-7.6441280422243962E-2</v>
      </c>
      <c r="P11" s="146">
        <f>IFERROR(F11-J11,"")</f>
        <v>-0.13317133321172436</v>
      </c>
      <c r="Q11" s="63"/>
      <c r="R11" s="64">
        <f>HLOOKUP($B$9,'SAISIE DES DONNEES SAMT'!$D$4:$Y$160,42,FALSE)</f>
        <v>1.4925313574000001</v>
      </c>
      <c r="S11" s="63"/>
      <c r="T11" s="57"/>
      <c r="U11" s="57"/>
      <c r="V11" s="57"/>
      <c r="W11" s="63"/>
      <c r="X11" s="63"/>
      <c r="Y11" s="63"/>
      <c r="Z11" s="63"/>
      <c r="AA11" s="63"/>
    </row>
    <row r="12" spans="2:29" ht="15" customHeight="1" x14ac:dyDescent="0.2">
      <c r="B12" s="65"/>
      <c r="C12" s="65"/>
      <c r="D12" s="65"/>
      <c r="E12" s="61"/>
      <c r="F12" s="65"/>
      <c r="G12" s="65"/>
      <c r="H12" s="65"/>
      <c r="I12" s="65"/>
      <c r="J12" s="65"/>
      <c r="K12" s="65"/>
      <c r="L12" s="65"/>
      <c r="M12" s="63"/>
      <c r="N12" s="63"/>
      <c r="O12" s="66"/>
      <c r="P12" s="66"/>
      <c r="Q12" s="63"/>
      <c r="R12" s="63"/>
      <c r="S12" s="63"/>
      <c r="T12" s="63"/>
      <c r="U12" s="63"/>
      <c r="V12" s="63"/>
      <c r="W12" s="63"/>
      <c r="X12" s="63"/>
      <c r="Y12" s="63"/>
      <c r="Z12" s="63"/>
      <c r="AA12" s="63"/>
    </row>
    <row r="13" spans="2:29" ht="15" customHeight="1" x14ac:dyDescent="0.2">
      <c r="B13" s="67">
        <f>F41</f>
        <v>1434378.6</v>
      </c>
      <c r="C13" s="308" t="s">
        <v>92</v>
      </c>
      <c r="D13" s="308"/>
      <c r="F13" s="309">
        <f>HLOOKUP($B$9,'SAISIE DES DONNEES SAMT'!$D$4:$Y$160,39,FALSE)</f>
        <v>913227</v>
      </c>
      <c r="G13" s="310"/>
      <c r="H13" s="311"/>
      <c r="I13" s="68"/>
      <c r="J13" s="309">
        <f>HLOOKUP($B$9,'SAISIE DES DONNEES SAMT'!$D$4:$Y$160,115,FALSE)</f>
        <v>884933</v>
      </c>
      <c r="K13" s="310"/>
      <c r="L13" s="311"/>
      <c r="M13" s="69"/>
      <c r="N13" s="69"/>
      <c r="O13" s="145">
        <f>IFERROR(F13/J13-1,"")</f>
        <v>3.1973042026910425E-2</v>
      </c>
      <c r="P13" s="147">
        <f>IFERROR(F13-J13,"")</f>
        <v>28294</v>
      </c>
      <c r="Q13" s="69"/>
      <c r="R13" s="69"/>
      <c r="S13" s="69"/>
      <c r="T13" s="69"/>
      <c r="U13" s="69"/>
      <c r="V13" s="69"/>
      <c r="W13" s="69"/>
      <c r="X13" s="69"/>
      <c r="Y13" s="69"/>
      <c r="Z13" s="69"/>
      <c r="AA13" s="69"/>
    </row>
    <row r="14" spans="2:29" ht="32.25" customHeight="1" x14ac:dyDescent="0.2">
      <c r="B14" s="65"/>
      <c r="C14" s="70" t="str">
        <f>HLOOKUP($B$9,'SAISIE DES DONNEES SAMT'!$D$4:$Y$160,35,FALSE)</f>
        <v>ICR</v>
      </c>
      <c r="D14" s="137" t="s">
        <v>93</v>
      </c>
      <c r="F14" s="309" t="str">
        <f>HLOOKUP($B$9,'SAISIE DES DONNEES SAMT'!$D$4:$Y$160,36,FALSE)</f>
        <v>ICR</v>
      </c>
      <c r="G14" s="310"/>
      <c r="H14" s="311"/>
      <c r="I14" s="71"/>
      <c r="J14" s="309" t="str">
        <f>HLOOKUP($B$9,'SAISIE DES DONNEES SAMT'!$D$4:$Y$160,112,FALSE)</f>
        <v>ICR</v>
      </c>
      <c r="K14" s="310"/>
      <c r="L14" s="311"/>
      <c r="M14" s="69"/>
      <c r="N14" s="69"/>
      <c r="O14" s="312" t="str">
        <f>IF(C30=0,"",IF(F14&lt;&gt;J14,"La nature de l'uo est différente par rapport à l'année précedente",""))</f>
        <v/>
      </c>
      <c r="P14" s="312"/>
      <c r="Q14" s="312"/>
      <c r="R14" s="312"/>
      <c r="S14" s="312"/>
      <c r="T14" s="312"/>
      <c r="U14" s="312"/>
      <c r="V14" s="312"/>
      <c r="W14" s="69"/>
      <c r="X14" s="69"/>
      <c r="Y14" s="69"/>
      <c r="Z14" s="69"/>
      <c r="AA14" s="69"/>
    </row>
    <row r="15" spans="2:29" ht="32.25" customHeight="1" x14ac:dyDescent="0.2">
      <c r="B15" s="65"/>
      <c r="C15" s="70"/>
      <c r="D15" s="137" t="s">
        <v>127</v>
      </c>
      <c r="F15" s="309" t="str">
        <f>HLOOKUP($B$9,'SAISIE DES DONNEES SAMT'!$D$4:$Y$160,37,FALSE)</f>
        <v>Non dédié</v>
      </c>
      <c r="G15" s="310"/>
      <c r="H15" s="311"/>
      <c r="I15" s="71"/>
      <c r="J15" s="309" t="str">
        <f>HLOOKUP($B$9,'SAISIE DES DONNEES SAMT'!$D$4:$Y$160,113,FALSE)</f>
        <v>Non dédié</v>
      </c>
      <c r="K15" s="310"/>
      <c r="L15" s="311"/>
      <c r="M15" s="69"/>
      <c r="N15" s="69"/>
      <c r="O15" s="312" t="str">
        <f>IF(F15&lt;&gt;J15,"Le mode de fonctionnement a évolué par rapport à l'année précédente","")</f>
        <v/>
      </c>
      <c r="P15" s="312"/>
      <c r="Q15" s="312"/>
      <c r="R15" s="312"/>
      <c r="S15" s="312"/>
      <c r="T15" s="312"/>
      <c r="U15" s="312"/>
      <c r="V15" s="312"/>
      <c r="W15" s="69"/>
      <c r="X15" s="69"/>
      <c r="Y15" s="69"/>
      <c r="Z15" s="69"/>
      <c r="AA15" s="69"/>
    </row>
    <row r="16" spans="2:29" ht="48" customHeight="1" x14ac:dyDescent="0.2">
      <c r="B16" s="65"/>
      <c r="C16" s="137"/>
      <c r="D16" s="137" t="s">
        <v>94</v>
      </c>
      <c r="F16" s="309" t="str">
        <f>HLOOKUP($B$9,'SAISIE DES DONNEES SAMT'!$D$4:$Y$160,38,FALSE)</f>
        <v>Interne</v>
      </c>
      <c r="G16" s="310"/>
      <c r="H16" s="311"/>
      <c r="I16" s="71"/>
      <c r="J16" s="309" t="str">
        <f>HLOOKUP($B$9,'SAISIE DES DONNEES SAMT'!$D$4:$Y$160,114,FALSE)</f>
        <v>Interne</v>
      </c>
      <c r="K16" s="310"/>
      <c r="L16" s="311"/>
      <c r="M16" s="69"/>
      <c r="N16" s="69"/>
      <c r="O16" s="312" t="str">
        <f>IF(F16&lt;&gt;J16,"Le mode de fonctionnement a évolué par rapport à l'année précédente","")</f>
        <v/>
      </c>
      <c r="P16" s="312"/>
      <c r="Q16" s="312"/>
      <c r="R16" s="312"/>
      <c r="S16" s="312"/>
      <c r="T16" s="312"/>
      <c r="U16" s="312"/>
      <c r="V16" s="312"/>
      <c r="W16" s="69"/>
      <c r="X16" s="69"/>
      <c r="Y16" s="69"/>
      <c r="Z16" s="69"/>
      <c r="AA16" s="69"/>
    </row>
    <row r="17" spans="2:27" ht="25.2" customHeight="1" x14ac:dyDescent="0.2">
      <c r="B17" s="313" t="str">
        <f>IF(C38=0,"La section d'analyse sélectionnée n'a pas été renseignée par l'établissement",IF(C14&lt;&gt;F14,"La nature d'UO est différente de celle demandée par le recueil RTC : la comparaison avec le référentiel ne sera pas possible",""))</f>
        <v/>
      </c>
      <c r="C17" s="313"/>
      <c r="D17" s="313"/>
      <c r="E17" s="313"/>
      <c r="F17" s="313"/>
      <c r="G17" s="313"/>
      <c r="H17" s="313"/>
      <c r="I17" s="313"/>
      <c r="J17" s="313"/>
      <c r="K17" s="313"/>
      <c r="L17" s="313"/>
      <c r="M17" s="313"/>
      <c r="N17" s="313"/>
      <c r="O17" s="313"/>
      <c r="P17" s="313"/>
      <c r="Q17" s="313"/>
      <c r="R17" s="313"/>
    </row>
    <row r="18" spans="2:27" ht="23.4" x14ac:dyDescent="0.2">
      <c r="B18" s="314" t="s">
        <v>198</v>
      </c>
      <c r="C18" s="315"/>
      <c r="D18" s="315"/>
      <c r="E18" s="315"/>
      <c r="F18" s="315"/>
      <c r="G18" s="315"/>
      <c r="H18" s="315"/>
      <c r="I18" s="315"/>
      <c r="J18" s="315"/>
      <c r="K18" s="315"/>
      <c r="L18" s="315"/>
      <c r="M18" s="315"/>
      <c r="N18" s="315"/>
      <c r="O18" s="315"/>
      <c r="P18" s="315"/>
      <c r="Q18" s="315"/>
      <c r="R18" s="315"/>
      <c r="S18" s="72"/>
      <c r="T18" s="72"/>
      <c r="U18" s="72"/>
      <c r="V18" s="72"/>
      <c r="W18" s="72"/>
      <c r="X18" s="72"/>
      <c r="Y18" s="72"/>
      <c r="Z18" s="72"/>
      <c r="AA18" s="72"/>
    </row>
    <row r="19" spans="2:27" ht="19.5" customHeight="1" x14ac:dyDescent="0.2">
      <c r="F19" s="73" t="s">
        <v>95</v>
      </c>
      <c r="G19" s="74"/>
      <c r="H19" s="73" t="s">
        <v>96</v>
      </c>
      <c r="I19" s="73"/>
      <c r="J19" s="73" t="s">
        <v>95</v>
      </c>
      <c r="K19" s="74"/>
      <c r="L19" s="73" t="s">
        <v>96</v>
      </c>
      <c r="M19" s="69"/>
      <c r="N19" s="69"/>
      <c r="O19" s="316" t="s">
        <v>95</v>
      </c>
      <c r="P19" s="316"/>
      <c r="Q19" s="69"/>
      <c r="R19" s="69"/>
      <c r="S19" s="69"/>
      <c r="T19" s="69"/>
      <c r="U19" s="69"/>
      <c r="V19" s="69"/>
      <c r="W19" s="69"/>
      <c r="X19" s="69"/>
      <c r="Y19" s="69"/>
      <c r="Z19" s="69"/>
      <c r="AA19" s="69"/>
    </row>
    <row r="20" spans="2:27" ht="14.4" x14ac:dyDescent="0.2">
      <c r="C20" s="75" t="s">
        <v>97</v>
      </c>
      <c r="D20" s="76"/>
      <c r="F20" s="77">
        <f>HLOOKUP($B$9,'SAISIE DES DONNEES SAMT'!$D$4:$Y$160,2,FALSE)</f>
        <v>1170409.8999999999</v>
      </c>
      <c r="G20" s="69"/>
      <c r="H20" s="78">
        <f>IFERROR(F20/$F$13,"")</f>
        <v>1.2816199039231209</v>
      </c>
      <c r="I20" s="79">
        <f>IFERROR(H20/$F$11,"")</f>
        <v>0.79654797153359036</v>
      </c>
      <c r="J20" s="77">
        <f>HLOOKUP($B$9,'SAISIE DES DONNEES SAMT'!$D$4:$Y$160,78,FALSE)</f>
        <v>1226312.96</v>
      </c>
      <c r="K20" s="69"/>
      <c r="L20" s="78">
        <f>IFERROR(J20/$J$13,"")</f>
        <v>1.3857692729280069</v>
      </c>
      <c r="M20" s="80">
        <f>IFERROR(L20/$J$11,"")</f>
        <v>0.79544129384065421</v>
      </c>
      <c r="N20" s="81"/>
      <c r="O20" s="148">
        <f>IFERROR(F20/J20-1,"")</f>
        <v>-4.5586291447168636E-2</v>
      </c>
      <c r="P20" s="149">
        <f>IFERROR(F20-J20,"")</f>
        <v>-55903.060000000056</v>
      </c>
      <c r="Q20" s="81"/>
      <c r="R20" s="81"/>
      <c r="S20" s="81"/>
      <c r="T20" s="81"/>
      <c r="U20" s="81"/>
      <c r="V20" s="81"/>
      <c r="W20" s="81"/>
      <c r="X20" s="81"/>
      <c r="Y20" s="81"/>
      <c r="Z20" s="81"/>
      <c r="AA20" s="81"/>
    </row>
    <row r="21" spans="2:27" ht="14.4" hidden="1" outlineLevel="1" x14ac:dyDescent="0.2">
      <c r="C21" s="82"/>
      <c r="D21" s="83" t="s">
        <v>98</v>
      </c>
      <c r="E21" s="84"/>
      <c r="F21" s="85">
        <f>HLOOKUP($B$9,'SAISIE DES DONNEES SAMT'!$D$4:$Y$160,5,FALSE)</f>
        <v>404425.87</v>
      </c>
      <c r="G21" s="86"/>
      <c r="H21" s="87">
        <f t="shared" ref="H21:H36" si="0">IFERROR(F21/$F$13,"")</f>
        <v>0.44285360594901374</v>
      </c>
      <c r="I21" s="79">
        <f t="shared" ref="I21:I40" si="1">IFERROR(H21/$F$11,"")</f>
        <v>0.27524084201971249</v>
      </c>
      <c r="J21" s="85">
        <f>HLOOKUP($B$9,'SAISIE DES DONNEES SAMT'!$D$4:$Y$160,81,FALSE)</f>
        <v>393940.54</v>
      </c>
      <c r="K21" s="86"/>
      <c r="L21" s="87">
        <f t="shared" ref="L21:L36" si="2">IFERROR(J21/$J$13,"")</f>
        <v>0.44516425537300564</v>
      </c>
      <c r="M21" s="80">
        <f t="shared" ref="M21:M36" si="3">IFERROR(L21/$J$11,"")</f>
        <v>0.25552740862649453</v>
      </c>
      <c r="N21" s="88"/>
      <c r="O21" s="150">
        <f t="shared" ref="O21:O36" si="4">IFERROR(F21/J21-1,"")</f>
        <v>2.661652948945048E-2</v>
      </c>
      <c r="P21" s="89">
        <f t="shared" ref="P21:P42" si="5">IFERROR(F21-J21,"")</f>
        <v>10485.330000000016</v>
      </c>
      <c r="Q21" s="81"/>
      <c r="R21" s="81"/>
      <c r="S21" s="81"/>
      <c r="T21" s="81"/>
      <c r="U21" s="81"/>
      <c r="V21" s="81"/>
      <c r="W21" s="81"/>
      <c r="X21" s="81"/>
      <c r="Y21" s="81"/>
      <c r="Z21" s="81"/>
      <c r="AA21" s="81"/>
    </row>
    <row r="22" spans="2:27" ht="14.4" hidden="1" outlineLevel="1" x14ac:dyDescent="0.2">
      <c r="C22" s="82"/>
      <c r="D22" s="83" t="s">
        <v>99</v>
      </c>
      <c r="E22" s="84"/>
      <c r="F22" s="85">
        <f>HLOOKUP($B$9,'SAISIE DES DONNEES SAMT'!$D$4:$Y$160,6,FALSE)</f>
        <v>0</v>
      </c>
      <c r="G22" s="86"/>
      <c r="H22" s="87">
        <f t="shared" si="0"/>
        <v>0</v>
      </c>
      <c r="I22" s="79">
        <f t="shared" si="1"/>
        <v>0</v>
      </c>
      <c r="J22" s="85">
        <f>HLOOKUP($B$9,'SAISIE DES DONNEES SAMT'!$D$4:$Y$160,82,FALSE)</f>
        <v>0</v>
      </c>
      <c r="K22" s="86"/>
      <c r="L22" s="87">
        <f t="shared" si="2"/>
        <v>0</v>
      </c>
      <c r="M22" s="80">
        <f t="shared" si="3"/>
        <v>0</v>
      </c>
      <c r="N22" s="88"/>
      <c r="O22" s="150" t="str">
        <f t="shared" si="4"/>
        <v/>
      </c>
      <c r="P22" s="89">
        <f t="shared" si="5"/>
        <v>0</v>
      </c>
      <c r="Q22" s="81"/>
      <c r="R22" s="81"/>
      <c r="S22" s="81"/>
      <c r="T22" s="81"/>
      <c r="U22" s="81"/>
      <c r="V22" s="81"/>
      <c r="W22" s="81"/>
      <c r="X22" s="81"/>
      <c r="Y22" s="81"/>
      <c r="Z22" s="81"/>
      <c r="AA22" s="81"/>
    </row>
    <row r="23" spans="2:27" ht="14.4" hidden="1" outlineLevel="1" x14ac:dyDescent="0.2">
      <c r="C23" s="82"/>
      <c r="D23" s="83" t="s">
        <v>100</v>
      </c>
      <c r="E23" s="84"/>
      <c r="F23" s="85">
        <f>HLOOKUP($B$9,'SAISIE DES DONNEES SAMT'!$D$4:$Y$160,4,FALSE)</f>
        <v>2925</v>
      </c>
      <c r="G23" s="86"/>
      <c r="H23" s="87">
        <f t="shared" si="0"/>
        <v>3.2029276401157655E-3</v>
      </c>
      <c r="I23" s="79">
        <f t="shared" si="1"/>
        <v>1.9906725128826679E-3</v>
      </c>
      <c r="J23" s="85">
        <f>HLOOKUP($B$9,'SAISIE DES DONNEES SAMT'!$D$4:$Y$160,80,FALSE)</f>
        <v>0</v>
      </c>
      <c r="K23" s="86"/>
      <c r="L23" s="87">
        <f t="shared" si="2"/>
        <v>0</v>
      </c>
      <c r="M23" s="80">
        <f t="shared" si="3"/>
        <v>0</v>
      </c>
      <c r="N23" s="88"/>
      <c r="O23" s="150" t="str">
        <f t="shared" si="4"/>
        <v/>
      </c>
      <c r="P23" s="89">
        <f t="shared" si="5"/>
        <v>2925</v>
      </c>
      <c r="Q23" s="81"/>
      <c r="R23" s="81"/>
      <c r="S23" s="81"/>
      <c r="T23" s="81"/>
      <c r="U23" s="81"/>
      <c r="V23" s="81"/>
      <c r="W23" s="81"/>
      <c r="X23" s="81"/>
      <c r="Y23" s="81"/>
      <c r="Z23" s="81"/>
      <c r="AA23" s="81"/>
    </row>
    <row r="24" spans="2:27" ht="14.4" hidden="1" outlineLevel="1" x14ac:dyDescent="0.2">
      <c r="C24" s="82"/>
      <c r="D24" s="83" t="s">
        <v>101</v>
      </c>
      <c r="E24" s="84"/>
      <c r="F24" s="85">
        <f>HLOOKUP($B$9,'SAISIE DES DONNEES SAMT'!$D$4:$Y$160,12,FALSE)</f>
        <v>757987.26</v>
      </c>
      <c r="G24" s="86"/>
      <c r="H24" s="87">
        <f t="shared" si="0"/>
        <v>0.83000969090927013</v>
      </c>
      <c r="I24" s="79">
        <f t="shared" si="1"/>
        <v>0.51586475336658055</v>
      </c>
      <c r="J24" s="85">
        <f>HLOOKUP($B$9,'SAISIE DES DONNEES SAMT'!$D$4:$Y$160,88,FALSE)</f>
        <v>775432.8</v>
      </c>
      <c r="K24" s="86"/>
      <c r="L24" s="87">
        <f t="shared" si="2"/>
        <v>0.87626159268554804</v>
      </c>
      <c r="M24" s="80">
        <f t="shared" si="3"/>
        <v>0.50298030750525657</v>
      </c>
      <c r="N24" s="88"/>
      <c r="O24" s="150">
        <f t="shared" si="4"/>
        <v>-2.2497810255124651E-2</v>
      </c>
      <c r="P24" s="89">
        <f t="shared" si="5"/>
        <v>-17445.540000000037</v>
      </c>
      <c r="Q24" s="81"/>
      <c r="R24" s="81"/>
      <c r="S24" s="81"/>
      <c r="T24" s="81"/>
      <c r="U24" s="81"/>
      <c r="V24" s="81"/>
      <c r="W24" s="81"/>
      <c r="X24" s="81"/>
      <c r="Y24" s="81"/>
      <c r="Z24" s="81"/>
      <c r="AA24" s="81"/>
    </row>
    <row r="25" spans="2:27" ht="14.4" hidden="1" outlineLevel="1" x14ac:dyDescent="0.2">
      <c r="C25" s="90"/>
      <c r="D25" s="83" t="s">
        <v>102</v>
      </c>
      <c r="E25" s="84"/>
      <c r="F25" s="85">
        <f>HLOOKUP($B$9,'SAISIE DES DONNEES SAMT'!$D$4:$Y$160,13,FALSE)</f>
        <v>5071.7700000000004</v>
      </c>
      <c r="G25" s="86"/>
      <c r="H25" s="87">
        <f t="shared" si="0"/>
        <v>5.5536794247213455E-3</v>
      </c>
      <c r="I25" s="79">
        <f t="shared" si="1"/>
        <v>3.4517036344146766E-3</v>
      </c>
      <c r="J25" s="85">
        <f>HLOOKUP($B$9,'SAISIE DES DONNEES SAMT'!$D$4:$Y$160,89,FALSE)</f>
        <v>56939.62</v>
      </c>
      <c r="K25" s="86"/>
      <c r="L25" s="87">
        <f t="shared" si="2"/>
        <v>6.4343424869453394E-2</v>
      </c>
      <c r="M25" s="80">
        <f t="shared" si="3"/>
        <v>3.6933577708903279E-2</v>
      </c>
      <c r="N25" s="88"/>
      <c r="O25" s="150">
        <f t="shared" si="4"/>
        <v>-0.91092722431235051</v>
      </c>
      <c r="P25" s="89">
        <f t="shared" si="5"/>
        <v>-51867.850000000006</v>
      </c>
      <c r="Q25" s="81"/>
      <c r="R25" s="81"/>
      <c r="S25" s="81"/>
      <c r="T25" s="81"/>
      <c r="U25" s="81"/>
      <c r="V25" s="81"/>
      <c r="W25" s="81"/>
      <c r="X25" s="81"/>
      <c r="Y25" s="81"/>
      <c r="Z25" s="81"/>
      <c r="AA25" s="81"/>
    </row>
    <row r="26" spans="2:27" ht="14.4" collapsed="1" x14ac:dyDescent="0.2">
      <c r="C26" s="91" t="s">
        <v>103</v>
      </c>
      <c r="D26" s="92"/>
      <c r="F26" s="93">
        <f>HLOOKUP($B$9,'SAISIE DES DONNEES SAMT'!$D$4:$Y$160,14,FALSE)</f>
        <v>188000.96</v>
      </c>
      <c r="G26" s="69"/>
      <c r="H26" s="94">
        <f t="shared" si="0"/>
        <v>0.20586443458198234</v>
      </c>
      <c r="I26" s="79">
        <f t="shared" si="1"/>
        <v>0.12794815161283893</v>
      </c>
      <c r="J26" s="93">
        <f>HLOOKUP($B$9,'SAISIE DES DONNEES SAMT'!$D$4:$Y$160,90,FALSE)</f>
        <v>181495.91</v>
      </c>
      <c r="K26" s="69"/>
      <c r="L26" s="94">
        <f t="shared" si="2"/>
        <v>0.20509565130919516</v>
      </c>
      <c r="M26" s="80">
        <f t="shared" si="3"/>
        <v>0.1177263440787472</v>
      </c>
      <c r="N26" s="81"/>
      <c r="O26" s="150">
        <f t="shared" si="4"/>
        <v>3.5841303531302549E-2</v>
      </c>
      <c r="P26" s="151">
        <f t="shared" si="5"/>
        <v>6505.0499999999884</v>
      </c>
      <c r="Q26" s="81"/>
      <c r="R26" s="81"/>
      <c r="S26" s="81"/>
      <c r="T26" s="81"/>
      <c r="U26" s="81"/>
      <c r="V26" s="81"/>
      <c r="W26" s="81"/>
      <c r="X26" s="81"/>
      <c r="Y26" s="81"/>
      <c r="Z26" s="81"/>
      <c r="AA26" s="81"/>
    </row>
    <row r="27" spans="2:27" s="152" customFormat="1" ht="12" hidden="1" outlineLevel="1" x14ac:dyDescent="0.2">
      <c r="C27" s="153" t="s">
        <v>155</v>
      </c>
      <c r="D27" s="154"/>
      <c r="F27" s="85">
        <f>HLOOKUP($B$9,'SAISIE DES DONNEES SAMT'!$D$4:$Y$160,67,FALSE)</f>
        <v>2679.1</v>
      </c>
      <c r="G27" s="155"/>
      <c r="H27" s="87">
        <f t="shared" si="0"/>
        <v>2.9336627147467167E-3</v>
      </c>
      <c r="I27" s="156">
        <f t="shared" si="1"/>
        <v>1.8233199074406685E-3</v>
      </c>
      <c r="J27" s="85">
        <f>HLOOKUP($B$9,'SAISIE DES DONNEES SAMT'!$D$4:$Y$160,143,FALSE)</f>
        <v>1385.84</v>
      </c>
      <c r="K27" s="155"/>
      <c r="L27" s="87">
        <f t="shared" si="2"/>
        <v>1.5660394628745904E-3</v>
      </c>
      <c r="M27" s="80">
        <f t="shared" si="3"/>
        <v>8.9891764876735239E-4</v>
      </c>
      <c r="N27" s="157"/>
      <c r="O27" s="158">
        <f t="shared" si="4"/>
        <v>0.93319575131328292</v>
      </c>
      <c r="P27" s="159">
        <f t="shared" si="5"/>
        <v>1293.26</v>
      </c>
      <c r="Q27" s="157"/>
      <c r="R27" s="157"/>
      <c r="S27" s="157"/>
      <c r="T27" s="157"/>
      <c r="U27" s="157"/>
      <c r="V27" s="157"/>
      <c r="W27" s="157"/>
      <c r="X27" s="157"/>
      <c r="Y27" s="157"/>
      <c r="Z27" s="157"/>
      <c r="AA27" s="157"/>
    </row>
    <row r="28" spans="2:27" s="152" customFormat="1" ht="12" hidden="1" outlineLevel="1" x14ac:dyDescent="0.2">
      <c r="C28" s="153" t="s">
        <v>156</v>
      </c>
      <c r="D28" s="154"/>
      <c r="F28" s="85">
        <f>HLOOKUP($B$9,'SAISIE DES DONNEES SAMT'!$D$4:$Y$160,68,FALSE)</f>
        <v>0</v>
      </c>
      <c r="G28" s="155"/>
      <c r="H28" s="87">
        <f t="shared" si="0"/>
        <v>0</v>
      </c>
      <c r="I28" s="156">
        <f t="shared" si="1"/>
        <v>0</v>
      </c>
      <c r="J28" s="85">
        <f>HLOOKUP($B$9,'SAISIE DES DONNEES SAMT'!$D$4:$Y$160,144,FALSE)</f>
        <v>0</v>
      </c>
      <c r="K28" s="155"/>
      <c r="L28" s="87">
        <f t="shared" si="2"/>
        <v>0</v>
      </c>
      <c r="M28" s="80">
        <f t="shared" si="3"/>
        <v>0</v>
      </c>
      <c r="N28" s="157"/>
      <c r="O28" s="158" t="str">
        <f t="shared" si="4"/>
        <v/>
      </c>
      <c r="P28" s="159">
        <f t="shared" si="5"/>
        <v>0</v>
      </c>
      <c r="Q28" s="157"/>
      <c r="R28" s="157"/>
      <c r="S28" s="157"/>
      <c r="T28" s="157"/>
      <c r="U28" s="157"/>
      <c r="V28" s="157"/>
      <c r="W28" s="157"/>
      <c r="X28" s="157"/>
      <c r="Y28" s="157"/>
      <c r="Z28" s="157"/>
      <c r="AA28" s="157"/>
    </row>
    <row r="29" spans="2:27" s="152" customFormat="1" ht="12" hidden="1" outlineLevel="1" x14ac:dyDescent="0.2">
      <c r="C29" s="153" t="s">
        <v>157</v>
      </c>
      <c r="D29" s="154"/>
      <c r="F29" s="85">
        <f>HLOOKUP($B$9,'SAISIE DES DONNEES SAMT'!$D$4:$Y$160,69,FALSE)</f>
        <v>0</v>
      </c>
      <c r="G29" s="155"/>
      <c r="H29" s="87">
        <f t="shared" si="0"/>
        <v>0</v>
      </c>
      <c r="I29" s="156">
        <f t="shared" si="1"/>
        <v>0</v>
      </c>
      <c r="J29" s="85">
        <f>HLOOKUP($B$9,'SAISIE DES DONNEES SAMT'!$D$4:$Y$160,145,FALSE)</f>
        <v>0</v>
      </c>
      <c r="K29" s="155"/>
      <c r="L29" s="87">
        <f t="shared" si="2"/>
        <v>0</v>
      </c>
      <c r="M29" s="80">
        <f t="shared" si="3"/>
        <v>0</v>
      </c>
      <c r="N29" s="157"/>
      <c r="O29" s="158" t="str">
        <f t="shared" si="4"/>
        <v/>
      </c>
      <c r="P29" s="159">
        <f t="shared" si="5"/>
        <v>0</v>
      </c>
      <c r="Q29" s="157"/>
      <c r="R29" s="157"/>
      <c r="S29" s="157"/>
      <c r="T29" s="157"/>
      <c r="U29" s="157"/>
      <c r="V29" s="157"/>
      <c r="W29" s="157"/>
      <c r="X29" s="157"/>
      <c r="Y29" s="157"/>
      <c r="Z29" s="157"/>
      <c r="AA29" s="157"/>
    </row>
    <row r="30" spans="2:27" s="152" customFormat="1" ht="12" hidden="1" outlineLevel="1" x14ac:dyDescent="0.2">
      <c r="C30" s="153" t="s">
        <v>158</v>
      </c>
      <c r="D30" s="154"/>
      <c r="F30" s="85">
        <f>HLOOKUP($B$9,'SAISIE DES DONNEES SAMT'!$D$4:$Y$160,70,FALSE)</f>
        <v>0</v>
      </c>
      <c r="G30" s="155"/>
      <c r="H30" s="87">
        <f t="shared" si="0"/>
        <v>0</v>
      </c>
      <c r="I30" s="156">
        <f t="shared" si="1"/>
        <v>0</v>
      </c>
      <c r="J30" s="85">
        <f>HLOOKUP($B$9,'SAISIE DES DONNEES SAMT'!$D$4:$Y$160,146,FALSE)</f>
        <v>0</v>
      </c>
      <c r="K30" s="155"/>
      <c r="L30" s="87">
        <f t="shared" si="2"/>
        <v>0</v>
      </c>
      <c r="M30" s="80">
        <f t="shared" si="3"/>
        <v>0</v>
      </c>
      <c r="N30" s="157"/>
      <c r="O30" s="158" t="str">
        <f t="shared" si="4"/>
        <v/>
      </c>
      <c r="P30" s="159">
        <f t="shared" si="5"/>
        <v>0</v>
      </c>
      <c r="Q30" s="157"/>
      <c r="R30" s="157"/>
      <c r="S30" s="157"/>
      <c r="T30" s="157"/>
      <c r="U30" s="157"/>
      <c r="V30" s="157"/>
      <c r="W30" s="157"/>
      <c r="X30" s="157"/>
      <c r="Y30" s="157"/>
      <c r="Z30" s="157"/>
      <c r="AA30" s="157"/>
    </row>
    <row r="31" spans="2:27" s="152" customFormat="1" ht="12" hidden="1" outlineLevel="1" x14ac:dyDescent="0.2">
      <c r="C31" s="153" t="s">
        <v>159</v>
      </c>
      <c r="D31" s="154"/>
      <c r="F31" s="85">
        <f>HLOOKUP($B$9,'SAISIE DES DONNEES SAMT'!$D$4:$Y$160,71,FALSE)</f>
        <v>0</v>
      </c>
      <c r="G31" s="155"/>
      <c r="H31" s="87">
        <f t="shared" si="0"/>
        <v>0</v>
      </c>
      <c r="I31" s="156">
        <f t="shared" si="1"/>
        <v>0</v>
      </c>
      <c r="J31" s="85">
        <f>HLOOKUP($B$9,'SAISIE DES DONNEES SAMT'!$D$4:$Y$160,147,FALSE)</f>
        <v>0</v>
      </c>
      <c r="K31" s="155"/>
      <c r="L31" s="87">
        <f t="shared" si="2"/>
        <v>0</v>
      </c>
      <c r="M31" s="80">
        <f t="shared" si="3"/>
        <v>0</v>
      </c>
      <c r="N31" s="157"/>
      <c r="O31" s="158" t="str">
        <f t="shared" si="4"/>
        <v/>
      </c>
      <c r="P31" s="159">
        <f t="shared" si="5"/>
        <v>0</v>
      </c>
      <c r="Q31" s="157"/>
      <c r="R31" s="157"/>
      <c r="S31" s="157"/>
      <c r="T31" s="157"/>
      <c r="U31" s="157"/>
      <c r="V31" s="157"/>
      <c r="W31" s="157"/>
      <c r="X31" s="157"/>
      <c r="Y31" s="157"/>
      <c r="Z31" s="157"/>
      <c r="AA31" s="157"/>
    </row>
    <row r="32" spans="2:27" s="152" customFormat="1" ht="12" hidden="1" outlineLevel="1" x14ac:dyDescent="0.2">
      <c r="C32" s="153" t="s">
        <v>160</v>
      </c>
      <c r="D32" s="154"/>
      <c r="F32" s="85">
        <f>HLOOKUP($B$9,'SAISIE DES DONNEES SAMT'!$D$4:$Y$160,72,FALSE)</f>
        <v>0</v>
      </c>
      <c r="G32" s="155"/>
      <c r="H32" s="87">
        <f t="shared" si="0"/>
        <v>0</v>
      </c>
      <c r="I32" s="156">
        <f t="shared" si="1"/>
        <v>0</v>
      </c>
      <c r="J32" s="85">
        <f>HLOOKUP($B$9,'SAISIE DES DONNEES SAMT'!$D$4:$Y$160,148,FALSE)</f>
        <v>0</v>
      </c>
      <c r="K32" s="155"/>
      <c r="L32" s="87">
        <f t="shared" si="2"/>
        <v>0</v>
      </c>
      <c r="M32" s="80">
        <f t="shared" si="3"/>
        <v>0</v>
      </c>
      <c r="N32" s="157"/>
      <c r="O32" s="158" t="str">
        <f t="shared" si="4"/>
        <v/>
      </c>
      <c r="P32" s="159">
        <f t="shared" si="5"/>
        <v>0</v>
      </c>
      <c r="Q32" s="157"/>
      <c r="R32" s="157"/>
      <c r="S32" s="157"/>
      <c r="T32" s="157"/>
      <c r="U32" s="157"/>
      <c r="V32" s="157"/>
      <c r="W32" s="157"/>
      <c r="X32" s="157"/>
      <c r="Y32" s="157"/>
      <c r="Z32" s="157"/>
      <c r="AA32" s="157"/>
    </row>
    <row r="33" spans="3:27" s="152" customFormat="1" ht="12" hidden="1" outlineLevel="1" x14ac:dyDescent="0.2">
      <c r="C33" s="153" t="s">
        <v>161</v>
      </c>
      <c r="D33" s="154"/>
      <c r="F33" s="85">
        <f>HLOOKUP($B$9,'SAISIE DES DONNEES SAMT'!$D$4:$Y$160,73,FALSE)</f>
        <v>41887.550000000003</v>
      </c>
      <c r="G33" s="155"/>
      <c r="H33" s="87">
        <f t="shared" si="0"/>
        <v>4.5867621084352522E-2</v>
      </c>
      <c r="I33" s="156">
        <f t="shared" si="1"/>
        <v>2.8507485270768681E-2</v>
      </c>
      <c r="J33" s="85">
        <f>HLOOKUP($B$9,'SAISIE DES DONNEES SAMT'!$D$4:$Y$160,149,FALSE)</f>
        <v>46621.77</v>
      </c>
      <c r="K33" s="155"/>
      <c r="L33" s="87">
        <f t="shared" si="2"/>
        <v>5.268395460447288E-2</v>
      </c>
      <c r="M33" s="80">
        <f t="shared" si="3"/>
        <v>3.0240959901411627E-2</v>
      </c>
      <c r="N33" s="157"/>
      <c r="O33" s="158">
        <f t="shared" si="4"/>
        <v>-0.10154526522695284</v>
      </c>
      <c r="P33" s="159">
        <f t="shared" si="5"/>
        <v>-4734.2199999999939</v>
      </c>
      <c r="Q33" s="157"/>
      <c r="R33" s="157"/>
      <c r="S33" s="157"/>
      <c r="T33" s="157"/>
      <c r="U33" s="157"/>
      <c r="V33" s="157"/>
      <c r="W33" s="157"/>
      <c r="X33" s="157"/>
      <c r="Y33" s="157"/>
      <c r="Z33" s="157"/>
      <c r="AA33" s="157"/>
    </row>
    <row r="34" spans="3:27" ht="14.4" collapsed="1" x14ac:dyDescent="0.2">
      <c r="C34" s="91" t="s">
        <v>104</v>
      </c>
      <c r="D34" s="83"/>
      <c r="F34" s="93">
        <f>HLOOKUP($B$9,'SAISIE DES DONNEES SAMT'!$D$4:$Y$160,15,FALSE)</f>
        <v>60.37</v>
      </c>
      <c r="G34" s="69"/>
      <c r="H34" s="94">
        <f t="shared" si="0"/>
        <v>6.6106236455996148E-5</v>
      </c>
      <c r="I34" s="79">
        <f t="shared" si="1"/>
        <v>4.1086119522299704E-5</v>
      </c>
      <c r="J34" s="93">
        <f>HLOOKUP($B$9,'SAISIE DES DONNEES SAMT'!$D$4:$Y$160,91,FALSE)</f>
        <v>80.209999999999994</v>
      </c>
      <c r="K34" s="69"/>
      <c r="L34" s="94">
        <f t="shared" si="2"/>
        <v>9.0639630344896164E-5</v>
      </c>
      <c r="M34" s="80">
        <f t="shared" si="3"/>
        <v>5.2027784309609576E-5</v>
      </c>
      <c r="N34" s="81"/>
      <c r="O34" s="150">
        <f t="shared" si="4"/>
        <v>-0.24735070440094753</v>
      </c>
      <c r="P34" s="151">
        <f t="shared" si="5"/>
        <v>-19.839999999999996</v>
      </c>
      <c r="Q34" s="81"/>
      <c r="R34" s="81"/>
      <c r="S34" s="81"/>
      <c r="T34" s="81"/>
      <c r="U34" s="81"/>
      <c r="V34" s="81"/>
      <c r="W34" s="81"/>
      <c r="X34" s="81"/>
      <c r="Y34" s="81"/>
      <c r="Z34" s="81"/>
      <c r="AA34" s="81"/>
    </row>
    <row r="35" spans="3:27" ht="14.4" x14ac:dyDescent="0.2">
      <c r="C35" s="82" t="s">
        <v>105</v>
      </c>
      <c r="D35" s="83"/>
      <c r="F35" s="93">
        <f>HLOOKUP($B$9,'SAISIE DES DONNEES SAMT'!$D$4:$Y$160,16,FALSE)</f>
        <v>87586.37</v>
      </c>
      <c r="G35" s="69"/>
      <c r="H35" s="94">
        <f t="shared" si="0"/>
        <v>9.5908651408685902E-2</v>
      </c>
      <c r="I35" s="79">
        <f t="shared" si="1"/>
        <v>5.9608813422964479E-2</v>
      </c>
      <c r="J35" s="93">
        <f>HLOOKUP($B$9,'SAISIE DES DONNEES SAMT'!$D$4:$Y$160,92,FALSE)</f>
        <v>104598.95</v>
      </c>
      <c r="K35" s="69"/>
      <c r="L35" s="94">
        <f t="shared" si="2"/>
        <v>0.11819985241820567</v>
      </c>
      <c r="M35" s="80">
        <f t="shared" si="3"/>
        <v>6.7847545313697008E-2</v>
      </c>
      <c r="N35" s="81"/>
      <c r="O35" s="150">
        <f t="shared" si="4"/>
        <v>-0.16264580093777237</v>
      </c>
      <c r="P35" s="151">
        <f t="shared" si="5"/>
        <v>-17012.580000000002</v>
      </c>
      <c r="Q35" s="81"/>
      <c r="R35" s="81"/>
      <c r="S35" s="81"/>
      <c r="T35" s="81"/>
      <c r="U35" s="81"/>
      <c r="V35" s="81"/>
      <c r="W35" s="81"/>
      <c r="X35" s="81"/>
      <c r="Y35" s="81"/>
      <c r="Z35" s="81"/>
      <c r="AA35" s="81"/>
    </row>
    <row r="36" spans="3:27" ht="14.4" x14ac:dyDescent="0.2">
      <c r="C36" s="95"/>
      <c r="D36" s="96" t="s">
        <v>106</v>
      </c>
      <c r="E36" s="84"/>
      <c r="F36" s="97">
        <f>HLOOKUP($B$9,'SAISIE DES DONNEES SAMT'!$D$4:$Y$160,26,FALSE)</f>
        <v>11679</v>
      </c>
      <c r="G36" s="86"/>
      <c r="H36" s="97">
        <f t="shared" si="0"/>
        <v>1.2788715182534025E-2</v>
      </c>
      <c r="I36" s="79">
        <f t="shared" si="1"/>
        <v>7.9483980437458721E-3</v>
      </c>
      <c r="J36" s="97">
        <f>HLOOKUP($B$9,'SAISIE DES DONNEES SAMT'!$D$4:$Y$160,102,FALSE)</f>
        <v>28029.11</v>
      </c>
      <c r="K36" s="86"/>
      <c r="L36" s="97">
        <f t="shared" si="2"/>
        <v>3.1673708631048902E-2</v>
      </c>
      <c r="M36" s="80">
        <f t="shared" si="3"/>
        <v>1.8180931174047139E-2</v>
      </c>
      <c r="N36" s="88"/>
      <c r="O36" s="160">
        <f t="shared" si="4"/>
        <v>-0.5833260492395228</v>
      </c>
      <c r="P36" s="98">
        <f t="shared" si="5"/>
        <v>-16350.11</v>
      </c>
      <c r="Q36" s="81"/>
      <c r="R36" s="81"/>
      <c r="S36" s="81"/>
      <c r="T36" s="81"/>
      <c r="U36" s="81"/>
      <c r="V36" s="81"/>
      <c r="W36" s="81"/>
      <c r="X36" s="81"/>
      <c r="Y36" s="81"/>
      <c r="Z36" s="81"/>
      <c r="AA36" s="81"/>
    </row>
    <row r="37" spans="3:27" ht="4.5" customHeight="1" x14ac:dyDescent="0.2">
      <c r="C37" s="99"/>
      <c r="D37" s="100"/>
      <c r="F37" s="101"/>
      <c r="G37" s="69"/>
      <c r="H37" s="102"/>
      <c r="I37" s="102"/>
      <c r="J37" s="101"/>
      <c r="K37" s="69"/>
      <c r="L37" s="102"/>
      <c r="M37" s="69"/>
      <c r="N37" s="69"/>
      <c r="O37" s="55"/>
      <c r="P37" s="103"/>
      <c r="Q37" s="69"/>
      <c r="R37" s="69"/>
      <c r="S37" s="69"/>
      <c r="T37" s="69"/>
      <c r="U37" s="69"/>
      <c r="V37" s="69"/>
      <c r="W37" s="69"/>
      <c r="X37" s="69"/>
      <c r="Y37" s="69"/>
      <c r="Z37" s="69"/>
      <c r="AA37" s="69"/>
    </row>
    <row r="38" spans="3:27" ht="14.4" x14ac:dyDescent="0.2">
      <c r="C38" s="104">
        <f>HLOOKUP($B$9,'SAISIE DES DONNEES SAMT'!$D$4:$Y$160,20,FALSE)</f>
        <v>1446057.6</v>
      </c>
      <c r="D38" s="105" t="s">
        <v>107</v>
      </c>
      <c r="F38" s="106">
        <f>IFERROR(SUM(F20,F26,F34,F35),"")</f>
        <v>1446057.6</v>
      </c>
      <c r="G38" s="74"/>
      <c r="H38" s="107">
        <f>IFERROR(F38/$F$13,"")</f>
        <v>1.5834590961502453</v>
      </c>
      <c r="I38" s="161">
        <f t="shared" ref="I38" si="6">IFERROR(H38/$F$11,"")</f>
        <v>0.98414602268891616</v>
      </c>
      <c r="J38" s="106">
        <f>IFERROR(SUM(J20,J26,J34,J35),"")</f>
        <v>1512488.0299999998</v>
      </c>
      <c r="K38" s="74"/>
      <c r="L38" s="107">
        <f>IFERROR(J38/$J$13,"")</f>
        <v>1.7091554162857525</v>
      </c>
      <c r="M38" s="162">
        <f t="shared" ref="M38:M40" si="7">IFERROR(L38/$J$11,"")</f>
        <v>0.98106721101740801</v>
      </c>
      <c r="O38" s="145">
        <f>IFERROR(F38/J38-1,"")</f>
        <v>-4.3921293049836385E-2</v>
      </c>
      <c r="P38" s="163">
        <f t="shared" ref="P38:P40" si="8">IFERROR(F38-J38,"")</f>
        <v>-66430.429999999702</v>
      </c>
    </row>
    <row r="39" spans="3:27" s="152" customFormat="1" ht="12" hidden="1" outlineLevel="1" x14ac:dyDescent="0.2">
      <c r="C39" s="164" t="s">
        <v>162</v>
      </c>
      <c r="D39" s="165"/>
      <c r="F39" s="166">
        <f>HLOOKUP($B$9,'SAISIE DES DONNEES SAMT'!$D$4:$Y$160,74,FALSE)</f>
        <v>98730.68</v>
      </c>
      <c r="G39" s="155"/>
      <c r="H39" s="167">
        <f>IFERROR(F39/$F$13,"")</f>
        <v>0.10811187141860676</v>
      </c>
      <c r="I39" s="156">
        <f t="shared" si="1"/>
        <v>6.7193316531355393E-2</v>
      </c>
      <c r="J39" s="166">
        <f>HLOOKUP($B$9,'SAISIE DES DONNEES SAMT'!$D$4:$Y$160,150,FALSE)</f>
        <v>115741.5</v>
      </c>
      <c r="K39" s="155"/>
      <c r="L39" s="167">
        <f t="shared" ref="L39:L40" si="9">IFERROR(J39/$J$13,"")</f>
        <v>0.13079125764323402</v>
      </c>
      <c r="M39" s="80">
        <f t="shared" si="7"/>
        <v>7.5075100332510636E-2</v>
      </c>
      <c r="O39" s="168">
        <f t="shared" ref="O39:O40" si="10">IFERROR(F39/J39-1,"")</f>
        <v>-0.14697252066026456</v>
      </c>
      <c r="P39" s="169">
        <f t="shared" si="8"/>
        <v>-17010.820000000007</v>
      </c>
    </row>
    <row r="40" spans="3:27" s="152" customFormat="1" ht="12" hidden="1" outlineLevel="1" x14ac:dyDescent="0.2">
      <c r="C40" s="164" t="s">
        <v>163</v>
      </c>
      <c r="D40" s="165"/>
      <c r="F40" s="170">
        <f>HLOOKUP($B$9,'SAISIE DES DONNEES SAMT'!$D$4:$Y$160,75,FALSE)</f>
        <v>132119.26999999999</v>
      </c>
      <c r="G40" s="155"/>
      <c r="H40" s="171">
        <f>IFERROR(F40/$F$13,"")</f>
        <v>0.14467297835039919</v>
      </c>
      <c r="I40" s="156">
        <f t="shared" si="1"/>
        <v>8.9916649302948265E-2</v>
      </c>
      <c r="J40" s="170">
        <f>HLOOKUP($B$9,'SAISIE DES DONNEES SAMT'!$D$4:$Y$160,151,FALSE)</f>
        <v>122425.96</v>
      </c>
      <c r="K40" s="155"/>
      <c r="L40" s="171">
        <f t="shared" si="9"/>
        <v>0.13834489164716426</v>
      </c>
      <c r="M40" s="80">
        <f t="shared" si="7"/>
        <v>7.9410939294064217E-2</v>
      </c>
      <c r="O40" s="172">
        <f t="shared" si="10"/>
        <v>7.9176916399103403E-2</v>
      </c>
      <c r="P40" s="173">
        <f t="shared" si="8"/>
        <v>9693.3099999999831</v>
      </c>
    </row>
    <row r="41" spans="3:27" ht="14.4" collapsed="1" x14ac:dyDescent="0.2">
      <c r="C41" s="61"/>
      <c r="D41" s="108" t="s">
        <v>108</v>
      </c>
      <c r="E41" s="109"/>
      <c r="F41" s="110">
        <f>IFERROR(SUM(F38,-F36),"")</f>
        <v>1434378.6</v>
      </c>
      <c r="G41" s="111"/>
      <c r="H41" s="112">
        <f>IFERROR(F41/$F$13,"")</f>
        <v>1.5706703809677114</v>
      </c>
      <c r="I41" s="79"/>
      <c r="J41" s="110">
        <f>IFERROR(SUM(J38,-J36),"")</f>
        <v>1484458.9199999997</v>
      </c>
      <c r="K41" s="111"/>
      <c r="L41" s="112">
        <f>IFERROR(J41/$J$13,"")</f>
        <v>1.6774817076547035</v>
      </c>
      <c r="M41" s="109"/>
      <c r="N41" s="109"/>
      <c r="O41" s="113">
        <f>IFERROR(F41/J41-1,"")</f>
        <v>-3.373641353443424E-2</v>
      </c>
      <c r="P41" s="114">
        <f t="shared" si="5"/>
        <v>-50080.3199999996</v>
      </c>
    </row>
    <row r="42" spans="3:27" ht="14.4" x14ac:dyDescent="0.2">
      <c r="C42" s="61"/>
      <c r="D42" s="115" t="s">
        <v>57</v>
      </c>
      <c r="E42" s="116"/>
      <c r="F42" s="117"/>
      <c r="G42" s="116"/>
      <c r="H42" s="116"/>
      <c r="I42" s="116"/>
      <c r="J42" s="117"/>
      <c r="K42" s="116"/>
      <c r="L42" s="116"/>
      <c r="M42" s="116"/>
      <c r="N42" s="116"/>
      <c r="O42" s="113" t="str">
        <f>IFERROR(F42/J42-1,"")</f>
        <v/>
      </c>
      <c r="P42" s="114">
        <f t="shared" si="5"/>
        <v>0</v>
      </c>
    </row>
    <row r="43" spans="3:27" ht="15.6" x14ac:dyDescent="0.2">
      <c r="C43" s="61"/>
      <c r="D43" s="118"/>
    </row>
    <row r="44" spans="3:27" ht="15.6" x14ac:dyDescent="0.2">
      <c r="C44" s="61" t="s">
        <v>129</v>
      </c>
      <c r="D44" s="118"/>
      <c r="F44" s="139">
        <f>HLOOKUP($B$9,'SAISIE DES DONNEES SAMT'!$D$4:$Y$160,29,FALSE)</f>
        <v>7192.5794883536</v>
      </c>
      <c r="G44" s="74"/>
      <c r="H44" s="174">
        <f t="shared" ref="H44:H54" si="11">IFERROR(F44/$F$13,"")</f>
        <v>7.8760039818726348E-3</v>
      </c>
      <c r="I44" s="79">
        <f t="shared" ref="I44:I50" si="12">IFERROR(H44/$F$11,"")</f>
        <v>4.8950667638253658E-3</v>
      </c>
      <c r="J44" s="139">
        <f>HLOOKUP($B$9,'SAISIE DES DONNEES SAMT'!$D$4:$Y$160,105,FALSE)</f>
        <v>7073.1222782956002</v>
      </c>
      <c r="K44" s="69"/>
      <c r="L44" s="174">
        <f t="shared" ref="L44:L54" si="13">IFERROR(J44/$J$13,"")</f>
        <v>7.9928336702276906E-3</v>
      </c>
      <c r="M44" s="80">
        <f t="shared" ref="M44:M50" si="14">IFERROR(L44/$J$11,"")</f>
        <v>4.5879426541660367E-3</v>
      </c>
      <c r="O44" s="145">
        <f t="shared" ref="O44:O48" si="15">IFERROR(F44/J44-1,"")</f>
        <v>1.6888893667873273E-2</v>
      </c>
      <c r="P44" s="163">
        <f t="shared" ref="P44:P48" si="16">IFERROR(F44-J44,"")</f>
        <v>119.45721005799987</v>
      </c>
    </row>
    <row r="45" spans="3:27" ht="15.6" x14ac:dyDescent="0.2">
      <c r="C45" s="61" t="s">
        <v>130</v>
      </c>
      <c r="D45" s="118"/>
      <c r="F45" s="139">
        <f>HLOOKUP($B$9,'SAISIE DES DONNEES SAMT'!$D$4:$Y$160,30,FALSE)</f>
        <v>291.4228709166</v>
      </c>
      <c r="G45" s="74"/>
      <c r="H45" s="174">
        <f t="shared" si="11"/>
        <v>3.1911328828056987E-4</v>
      </c>
      <c r="I45" s="79">
        <f t="shared" si="12"/>
        <v>1.9833418760992457E-4</v>
      </c>
      <c r="J45" s="139">
        <f>HLOOKUP($B$9,'SAISIE DES DONNEES SAMT'!$D$4:$Y$160,106,FALSE)</f>
        <v>195.5476236696</v>
      </c>
      <c r="K45" s="69"/>
      <c r="L45" s="174">
        <f t="shared" si="13"/>
        <v>2.2097449600094019E-4</v>
      </c>
      <c r="M45" s="80">
        <f t="shared" si="14"/>
        <v>1.2684091243658714E-4</v>
      </c>
      <c r="O45" s="145">
        <f t="shared" si="15"/>
        <v>0.4902910372820084</v>
      </c>
      <c r="P45" s="163">
        <f t="shared" si="16"/>
        <v>95.875247247000004</v>
      </c>
    </row>
    <row r="46" spans="3:27" ht="15.6" x14ac:dyDescent="0.2">
      <c r="C46" s="61" t="s">
        <v>131</v>
      </c>
      <c r="D46" s="118"/>
      <c r="F46" s="139">
        <f>HLOOKUP($B$9,'SAISIE DES DONNEES SAMT'!$D$4:$Y$160,31,FALSE)</f>
        <v>6352.6750453720997</v>
      </c>
      <c r="G46" s="74"/>
      <c r="H46" s="174">
        <f t="shared" si="11"/>
        <v>6.9562935013661445E-3</v>
      </c>
      <c r="I46" s="79">
        <f t="shared" si="12"/>
        <v>4.3234514858454341E-3</v>
      </c>
      <c r="J46" s="139">
        <f>HLOOKUP($B$9,'SAISIE DES DONNEES SAMT'!$D$4:$Y$160,107,FALSE)</f>
        <v>11600.508387096799</v>
      </c>
      <c r="K46" s="69"/>
      <c r="L46" s="174">
        <f t="shared" si="13"/>
        <v>1.3108911507534241E-2</v>
      </c>
      <c r="M46" s="80">
        <f t="shared" si="14"/>
        <v>7.5246072590161974E-3</v>
      </c>
      <c r="O46" s="145">
        <f t="shared" si="15"/>
        <v>-0.45237959980804332</v>
      </c>
      <c r="P46" s="163">
        <f t="shared" si="16"/>
        <v>-5247.8333417246995</v>
      </c>
    </row>
    <row r="47" spans="3:27" ht="15.6" x14ac:dyDescent="0.2">
      <c r="C47" s="61" t="s">
        <v>132</v>
      </c>
      <c r="D47" s="118"/>
      <c r="F47" s="139">
        <f>HLOOKUP($B$9,'SAISIE DES DONNEES SAMT'!$D$4:$Y$160,32,FALSE)</f>
        <v>2446.8791759245</v>
      </c>
      <c r="G47" s="74"/>
      <c r="H47" s="174">
        <f t="shared" si="11"/>
        <v>2.6793767331939377E-3</v>
      </c>
      <c r="I47" s="79">
        <f t="shared" si="12"/>
        <v>1.6652769633702209E-3</v>
      </c>
      <c r="J47" s="139">
        <f>HLOOKUP($B$9,'SAISIE DES DONNEES SAMT'!$D$4:$Y$160,108,FALSE)</f>
        <v>2766.9124378252</v>
      </c>
      <c r="K47" s="69"/>
      <c r="L47" s="174">
        <f t="shared" si="13"/>
        <v>3.1266914419794492E-3</v>
      </c>
      <c r="M47" s="80">
        <f t="shared" si="14"/>
        <v>1.7947428440187698E-3</v>
      </c>
      <c r="O47" s="145">
        <f t="shared" si="15"/>
        <v>-0.11566439816658847</v>
      </c>
      <c r="P47" s="163">
        <f t="shared" si="16"/>
        <v>-320.03326190069993</v>
      </c>
    </row>
    <row r="48" spans="3:27" ht="15.6" x14ac:dyDescent="0.2">
      <c r="C48" s="61" t="s">
        <v>133</v>
      </c>
      <c r="D48" s="118"/>
      <c r="F48" s="139">
        <f>HLOOKUP($B$9,'SAISIE DES DONNEES SAMT'!$D$4:$Y$160,33,FALSE)</f>
        <v>7011.5275353876004</v>
      </c>
      <c r="G48" s="74"/>
      <c r="H48" s="174">
        <f t="shared" si="11"/>
        <v>7.6777488350515269E-3</v>
      </c>
      <c r="I48" s="79">
        <f t="shared" si="12"/>
        <v>4.7718479104328386E-3</v>
      </c>
      <c r="J48" s="139">
        <f>HLOOKUP($B$9,'SAISIE DES DONNEES SAMT'!$D$4:$Y$160,109,FALSE)</f>
        <v>7552.1406084460004</v>
      </c>
      <c r="K48" s="69"/>
      <c r="L48" s="174">
        <f t="shared" si="13"/>
        <v>8.5341383002396805E-3</v>
      </c>
      <c r="M48" s="80">
        <f t="shared" si="14"/>
        <v>4.8986553129543977E-3</v>
      </c>
      <c r="O48" s="145">
        <f t="shared" si="15"/>
        <v>-7.158408471020794E-2</v>
      </c>
      <c r="P48" s="163">
        <f t="shared" si="16"/>
        <v>-540.6130730584</v>
      </c>
    </row>
    <row r="49" spans="2:27" ht="15.6" x14ac:dyDescent="0.2">
      <c r="C49" s="61"/>
      <c r="D49" s="118"/>
    </row>
    <row r="50" spans="2:27" ht="24.75" customHeight="1" x14ac:dyDescent="0.2">
      <c r="C50" s="317" t="s">
        <v>134</v>
      </c>
      <c r="D50" s="317"/>
      <c r="F50" s="106">
        <f>IFERROR(SUM(F44:F48),"")</f>
        <v>23295.0841159544</v>
      </c>
      <c r="G50" s="74"/>
      <c r="H50" s="112">
        <f t="shared" si="11"/>
        <v>2.5508536339764812E-2</v>
      </c>
      <c r="I50" s="161">
        <f t="shared" si="12"/>
        <v>1.5853977311083782E-2</v>
      </c>
      <c r="J50" s="106">
        <f>IFERROR(SUM(J44:J48),"")</f>
        <v>29188.231335333203</v>
      </c>
      <c r="K50" s="74"/>
      <c r="L50" s="112">
        <f t="shared" si="13"/>
        <v>3.2983549415982007E-2</v>
      </c>
      <c r="M50" s="162">
        <f t="shared" si="14"/>
        <v>1.8932788982591993E-2</v>
      </c>
      <c r="O50" s="145">
        <f t="shared" ref="O50" si="17">IFERROR(F50/J50-1,"")</f>
        <v>-0.20190148391228413</v>
      </c>
      <c r="P50" s="163">
        <f t="shared" ref="P50" si="18">IFERROR(F50-J50,"")</f>
        <v>-5893.1472193788031</v>
      </c>
    </row>
    <row r="51" spans="2:27" ht="15.6" x14ac:dyDescent="0.2">
      <c r="C51" s="61"/>
      <c r="D51" s="118"/>
    </row>
    <row r="52" spans="2:27" ht="14.4" x14ac:dyDescent="0.2">
      <c r="C52" s="317" t="s">
        <v>135</v>
      </c>
      <c r="D52" s="317"/>
      <c r="F52" s="106">
        <f>IFERROR(SUM(F38,F50),"")</f>
        <v>1469352.6841159544</v>
      </c>
      <c r="G52" s="74"/>
      <c r="H52" s="112">
        <f t="shared" si="11"/>
        <v>1.6089676324900102</v>
      </c>
      <c r="J52" s="106">
        <f>IFERROR(SUM(J38,J50),"")</f>
        <v>1541676.2613353331</v>
      </c>
      <c r="K52" s="74"/>
      <c r="L52" s="112">
        <f t="shared" si="13"/>
        <v>1.7421389657017345</v>
      </c>
      <c r="O52" s="145">
        <f t="shared" ref="O52" si="19">IFERROR(F52/J52-1,"")</f>
        <v>-4.691229866686486E-2</v>
      </c>
      <c r="P52" s="163">
        <f t="shared" ref="P52" si="20">IFERROR(F52-J52,"")</f>
        <v>-72323.577219378669</v>
      </c>
    </row>
    <row r="53" spans="2:27" ht="15.6" x14ac:dyDescent="0.2">
      <c r="C53" s="135"/>
      <c r="D53" s="118"/>
      <c r="F53" s="175"/>
      <c r="G53" s="74"/>
      <c r="H53" s="176"/>
      <c r="J53" s="175"/>
      <c r="K53" s="74"/>
      <c r="L53" s="176"/>
      <c r="O53" s="177"/>
      <c r="P53" s="178"/>
    </row>
    <row r="54" spans="2:27" ht="29.25" customHeight="1" x14ac:dyDescent="0.2">
      <c r="C54" s="317" t="s">
        <v>164</v>
      </c>
      <c r="D54" s="317"/>
      <c r="F54" s="106">
        <f>IFERROR(SUM(F52,-F28,-F32),"")</f>
        <v>1469352.6841159544</v>
      </c>
      <c r="G54" s="74"/>
      <c r="H54" s="112">
        <f t="shared" si="11"/>
        <v>1.6089676324900102</v>
      </c>
      <c r="J54" s="106">
        <f>IFERROR(SUM(J52,-J28,-J32),"")</f>
        <v>1541676.2613353331</v>
      </c>
      <c r="K54" s="74"/>
      <c r="L54" s="112">
        <f t="shared" si="13"/>
        <v>1.7421389657017345</v>
      </c>
      <c r="O54" s="145">
        <f t="shared" ref="O54" si="21">IFERROR(F54/J54-1,"")</f>
        <v>-4.691229866686486E-2</v>
      </c>
      <c r="P54" s="163">
        <f t="shared" ref="P54" si="22">IFERROR(F54-J54,"")</f>
        <v>-72323.577219378669</v>
      </c>
    </row>
    <row r="55" spans="2:27" ht="23.4" x14ac:dyDescent="0.2">
      <c r="B55" s="119"/>
      <c r="C55" s="119"/>
      <c r="D55" s="119"/>
      <c r="E55" s="119"/>
      <c r="F55" s="119"/>
      <c r="G55" s="119"/>
      <c r="H55" s="119"/>
      <c r="I55" s="119"/>
      <c r="J55" s="119"/>
      <c r="K55" s="119"/>
      <c r="L55" s="119"/>
      <c r="M55" s="119"/>
      <c r="N55" s="119"/>
      <c r="O55" s="119"/>
      <c r="P55" s="120"/>
      <c r="Q55" s="119"/>
      <c r="R55" s="119"/>
      <c r="S55" s="119"/>
      <c r="T55" s="119"/>
      <c r="U55" s="119"/>
      <c r="V55" s="119"/>
      <c r="W55" s="119"/>
      <c r="X55" s="119"/>
      <c r="Y55" s="119"/>
      <c r="Z55" s="119"/>
      <c r="AA55" s="119"/>
    </row>
    <row r="56" spans="2:27" ht="25.5" customHeight="1" x14ac:dyDescent="0.2">
      <c r="B56" s="314" t="s">
        <v>109</v>
      </c>
      <c r="C56" s="315"/>
      <c r="D56" s="315"/>
      <c r="E56" s="315"/>
      <c r="F56" s="315"/>
      <c r="G56" s="315"/>
      <c r="H56" s="315"/>
      <c r="I56" s="315"/>
      <c r="J56" s="315"/>
      <c r="K56" s="315"/>
      <c r="L56" s="315"/>
      <c r="M56" s="315"/>
      <c r="N56" s="315"/>
      <c r="O56" s="315"/>
      <c r="P56" s="315"/>
      <c r="Q56" s="315"/>
      <c r="R56" s="315"/>
      <c r="S56" s="72"/>
      <c r="T56" s="72"/>
      <c r="U56" s="72"/>
      <c r="V56" s="72"/>
      <c r="W56" s="72"/>
      <c r="X56" s="72"/>
      <c r="Y56" s="72"/>
      <c r="Z56" s="72"/>
      <c r="AA56" s="72"/>
    </row>
    <row r="57" spans="2:27" ht="15" customHeight="1" x14ac:dyDescent="0.2"/>
    <row r="58" spans="2:27" ht="14.4" x14ac:dyDescent="0.2">
      <c r="B58" s="327" t="s">
        <v>110</v>
      </c>
      <c r="C58" s="75" t="s">
        <v>111</v>
      </c>
      <c r="D58" s="121"/>
      <c r="F58" s="122">
        <f>HLOOKUP($B$9,'SAISIE DES DONNEES SAMT'!$D$4:$Y$160,48,FALSE)</f>
        <v>2.2400000000000002</v>
      </c>
      <c r="G58" s="123"/>
      <c r="H58" s="124"/>
      <c r="I58" s="124"/>
      <c r="J58" s="122">
        <f>HLOOKUP($B$9,'SAISIE DES DONNEES SAMT'!$D$4:$Y$160,124,FALSE)</f>
        <v>2.4407000000000001</v>
      </c>
      <c r="K58" s="123"/>
      <c r="L58" s="124"/>
      <c r="M58" s="69"/>
      <c r="N58" s="69"/>
      <c r="O58" s="148">
        <f t="shared" ref="O58:O60" si="23">IFERROR(F58/J58-1,"")</f>
        <v>-8.2230507641250394E-2</v>
      </c>
      <c r="P58" s="179">
        <f t="shared" ref="P58:P60" si="24">IFERROR(F58-J58,"")</f>
        <v>-0.20069999999999988</v>
      </c>
      <c r="Q58" s="69"/>
      <c r="R58" s="69"/>
      <c r="S58" s="69"/>
      <c r="T58" s="69"/>
      <c r="U58" s="69"/>
      <c r="V58" s="69"/>
      <c r="W58" s="69"/>
      <c r="X58" s="69"/>
      <c r="Y58" s="69"/>
      <c r="Z58" s="69"/>
      <c r="AA58" s="69"/>
    </row>
    <row r="59" spans="2:27" ht="14.4" x14ac:dyDescent="0.2">
      <c r="B59" s="328"/>
      <c r="C59" s="91" t="s">
        <v>112</v>
      </c>
      <c r="D59" s="92"/>
      <c r="F59" s="125">
        <f>HLOOKUP($B$9,'SAISIE DES DONNEES SAMT'!$D$4:$Y$160,49,FALSE)</f>
        <v>180547.2634</v>
      </c>
      <c r="G59" s="69"/>
      <c r="H59" s="69"/>
      <c r="I59" s="69"/>
      <c r="J59" s="125">
        <f>HLOOKUP($B$9,'SAISIE DES DONNEES SAMT'!$D$4:$Y$160,125,FALSE)</f>
        <v>161404.39720000001</v>
      </c>
      <c r="K59" s="69"/>
      <c r="L59" s="69"/>
      <c r="M59" s="126"/>
      <c r="N59" s="126"/>
      <c r="O59" s="150">
        <f t="shared" si="23"/>
        <v>0.11860188775575686</v>
      </c>
      <c r="P59" s="151">
        <f t="shared" si="24"/>
        <v>19142.866199999989</v>
      </c>
      <c r="Q59" s="126"/>
      <c r="R59" s="127">
        <f>HLOOKUP($B$9,'SAISIE DES DONNEES SAMT'!$D$4:$Y$160,43,FALSE)</f>
        <v>156166.18466</v>
      </c>
      <c r="S59" s="126"/>
      <c r="T59" s="126"/>
      <c r="U59" s="126"/>
      <c r="V59" s="126"/>
      <c r="W59" s="126"/>
      <c r="X59" s="126"/>
      <c r="Y59" s="126"/>
      <c r="Z59" s="126"/>
      <c r="AA59" s="126"/>
    </row>
    <row r="60" spans="2:27" ht="14.4" x14ac:dyDescent="0.2">
      <c r="B60" s="329"/>
      <c r="C60" s="128" t="s">
        <v>113</v>
      </c>
      <c r="D60" s="129"/>
      <c r="F60" s="130">
        <f>IFERROR($F$13/F58,"")</f>
        <v>407690.62499999994</v>
      </c>
      <c r="G60" s="131"/>
      <c r="H60" s="131"/>
      <c r="I60" s="131"/>
      <c r="J60" s="130">
        <f>IFERROR($J$13/J58,"")</f>
        <v>362573.44204531488</v>
      </c>
      <c r="K60" s="131"/>
      <c r="L60" s="131"/>
      <c r="M60" s="126"/>
      <c r="N60" s="126"/>
      <c r="O60" s="160">
        <f t="shared" si="23"/>
        <v>0.12443598378351783</v>
      </c>
      <c r="P60" s="180">
        <f t="shared" si="24"/>
        <v>45117.182954685064</v>
      </c>
      <c r="Q60" s="126"/>
      <c r="R60" s="126"/>
      <c r="S60" s="126"/>
      <c r="T60" s="126"/>
      <c r="U60" s="126"/>
      <c r="V60" s="126"/>
      <c r="W60" s="126"/>
      <c r="X60" s="126"/>
      <c r="Y60" s="126"/>
      <c r="Z60" s="126"/>
      <c r="AA60" s="126"/>
    </row>
    <row r="61" spans="2:27" ht="15" customHeight="1" x14ac:dyDescent="0.2">
      <c r="B61" s="132"/>
      <c r="C61" s="61"/>
      <c r="D61" s="100"/>
      <c r="F61" s="68"/>
      <c r="G61" s="68"/>
      <c r="H61" s="68"/>
      <c r="I61" s="68"/>
      <c r="J61" s="68"/>
      <c r="K61" s="68"/>
      <c r="L61" s="68"/>
      <c r="M61" s="126"/>
      <c r="N61" s="126"/>
      <c r="O61" s="133"/>
      <c r="P61" s="133"/>
      <c r="Q61" s="126"/>
      <c r="R61" s="126"/>
      <c r="S61" s="126"/>
      <c r="T61" s="126"/>
      <c r="U61" s="126"/>
      <c r="V61" s="126"/>
      <c r="W61" s="126"/>
      <c r="X61" s="126"/>
      <c r="Y61" s="126"/>
      <c r="Z61" s="126"/>
      <c r="AA61" s="126"/>
    </row>
    <row r="62" spans="2:27" ht="14.4" x14ac:dyDescent="0.2">
      <c r="B62" s="327" t="s">
        <v>114</v>
      </c>
      <c r="C62" s="75" t="s">
        <v>115</v>
      </c>
      <c r="D62" s="121"/>
      <c r="F62" s="122">
        <f>HLOOKUP($B$9,'SAISIE DES DONNEES SAMT'!$D$4:$Y$160,52,FALSE)</f>
        <v>0</v>
      </c>
      <c r="G62" s="123"/>
      <c r="H62" s="124"/>
      <c r="I62" s="124"/>
      <c r="J62" s="122">
        <f>HLOOKUP($B$9,'SAISIE DES DONNEES SAMT'!$D$4:$Y$160,128,FALSE)</f>
        <v>0</v>
      </c>
      <c r="K62" s="123"/>
      <c r="L62" s="124"/>
      <c r="M62" s="69"/>
      <c r="N62" s="69"/>
      <c r="O62" s="148" t="str">
        <f t="shared" ref="O62:O64" si="25">IFERROR(F62/J62-1,"")</f>
        <v/>
      </c>
      <c r="P62" s="179">
        <f t="shared" ref="P62:P64" si="26">IFERROR(F62-J62,"")</f>
        <v>0</v>
      </c>
      <c r="Q62" s="69"/>
      <c r="R62" s="69"/>
      <c r="S62" s="69"/>
      <c r="T62" s="69"/>
      <c r="U62" s="69"/>
      <c r="V62" s="69"/>
      <c r="W62" s="69"/>
      <c r="X62" s="69"/>
      <c r="Y62" s="69"/>
      <c r="Z62" s="69"/>
      <c r="AA62" s="69"/>
    </row>
    <row r="63" spans="2:27" ht="14.4" x14ac:dyDescent="0.2">
      <c r="B63" s="328"/>
      <c r="C63" s="91" t="s">
        <v>116</v>
      </c>
      <c r="D63" s="92"/>
      <c r="F63" s="125">
        <f>HLOOKUP($B$9,'SAISIE DES DONNEES SAMT'!$D$4:$Y$160,53,FALSE)</f>
        <v>0</v>
      </c>
      <c r="G63" s="69"/>
      <c r="H63" s="69"/>
      <c r="I63" s="69"/>
      <c r="J63" s="125">
        <f>HLOOKUP($B$9,'SAISIE DES DONNEES SAMT'!$D$4:$Y$160,129,FALSE)</f>
        <v>0</v>
      </c>
      <c r="K63" s="69"/>
      <c r="L63" s="69"/>
      <c r="M63" s="126"/>
      <c r="N63" s="126"/>
      <c r="O63" s="150" t="str">
        <f t="shared" si="25"/>
        <v/>
      </c>
      <c r="P63" s="151">
        <f t="shared" si="26"/>
        <v>0</v>
      </c>
      <c r="Q63" s="126"/>
      <c r="R63" s="126"/>
      <c r="S63" s="126"/>
      <c r="T63" s="126"/>
      <c r="U63" s="126"/>
      <c r="V63" s="126"/>
      <c r="W63" s="126"/>
      <c r="X63" s="126"/>
      <c r="Y63" s="126"/>
      <c r="Z63" s="126"/>
      <c r="AA63" s="126"/>
    </row>
    <row r="64" spans="2:27" ht="14.4" x14ac:dyDescent="0.2">
      <c r="B64" s="329"/>
      <c r="C64" s="128" t="s">
        <v>117</v>
      </c>
      <c r="D64" s="129"/>
      <c r="F64" s="130" t="str">
        <f>IFERROR($F$13/F62,"")</f>
        <v/>
      </c>
      <c r="G64" s="68"/>
      <c r="H64" s="68"/>
      <c r="I64" s="68"/>
      <c r="J64" s="130" t="str">
        <f>IFERROR($J$13/J62,"")</f>
        <v/>
      </c>
      <c r="K64" s="68"/>
      <c r="L64" s="68"/>
      <c r="M64" s="126"/>
      <c r="N64" s="126"/>
      <c r="O64" s="160" t="str">
        <f t="shared" si="25"/>
        <v/>
      </c>
      <c r="P64" s="180" t="str">
        <f t="shared" si="26"/>
        <v/>
      </c>
      <c r="Q64" s="126"/>
      <c r="R64" s="126"/>
      <c r="S64" s="126"/>
      <c r="T64" s="126"/>
      <c r="U64" s="126"/>
      <c r="V64" s="126"/>
      <c r="W64" s="126"/>
      <c r="X64" s="126"/>
      <c r="Y64" s="126"/>
      <c r="Z64" s="126"/>
      <c r="AA64" s="126"/>
    </row>
    <row r="65" spans="2:27" ht="14.4" x14ac:dyDescent="0.2">
      <c r="F65" s="69"/>
      <c r="G65" s="69"/>
      <c r="H65" s="69"/>
      <c r="I65" s="69"/>
      <c r="J65" s="69"/>
      <c r="K65" s="69"/>
      <c r="L65" s="69"/>
      <c r="M65" s="126"/>
      <c r="N65" s="126"/>
      <c r="O65" s="133"/>
      <c r="P65" s="133"/>
      <c r="Q65" s="126"/>
      <c r="R65" s="126"/>
      <c r="S65" s="126"/>
      <c r="T65" s="126"/>
      <c r="U65" s="126"/>
      <c r="V65" s="126"/>
      <c r="W65" s="126"/>
      <c r="X65" s="126"/>
      <c r="Y65" s="126"/>
      <c r="Z65" s="126"/>
      <c r="AA65" s="126"/>
    </row>
    <row r="66" spans="2:27" ht="14.4" x14ac:dyDescent="0.2">
      <c r="B66" s="327" t="s">
        <v>118</v>
      </c>
      <c r="C66" s="75" t="s">
        <v>119</v>
      </c>
      <c r="D66" s="121"/>
      <c r="F66" s="122">
        <f>HLOOKUP($B$9,'SAISIE DES DONNEES SAMT'!$D$4:$Y$160,64,FALSE)</f>
        <v>16.43</v>
      </c>
      <c r="G66" s="123"/>
      <c r="H66" s="124"/>
      <c r="I66" s="124"/>
      <c r="J66" s="122">
        <f>HLOOKUP($B$9,'SAISIE DES DONNEES SAMT'!$D$4:$Y$160,140,FALSE)</f>
        <v>19.094799999999999</v>
      </c>
      <c r="K66" s="123"/>
      <c r="L66" s="124"/>
      <c r="M66" s="69"/>
      <c r="N66" s="69"/>
      <c r="O66" s="148">
        <f t="shared" ref="O66:O68" si="27">IFERROR(F66/J66-1,"")</f>
        <v>-0.13955631899784238</v>
      </c>
      <c r="P66" s="179">
        <f t="shared" ref="P66:P68" si="28">IFERROR(F66-J66,"")</f>
        <v>-2.6647999999999996</v>
      </c>
      <c r="Q66" s="69"/>
      <c r="R66" s="69"/>
      <c r="S66" s="69"/>
      <c r="T66" s="69"/>
      <c r="U66" s="69"/>
      <c r="V66" s="69"/>
      <c r="W66" s="69"/>
      <c r="X66" s="69"/>
      <c r="Y66" s="69"/>
      <c r="Z66" s="69"/>
      <c r="AA66" s="69"/>
    </row>
    <row r="67" spans="2:27" ht="14.4" x14ac:dyDescent="0.2">
      <c r="B67" s="328"/>
      <c r="C67" s="91" t="s">
        <v>120</v>
      </c>
      <c r="D67" s="92"/>
      <c r="F67" s="125">
        <f>HLOOKUP($B$9,'SAISIE DES DONNEES SAMT'!$D$4:$Y$160,65,FALSE)</f>
        <v>45614.2526</v>
      </c>
      <c r="G67" s="69"/>
      <c r="H67" s="69"/>
      <c r="I67" s="69"/>
      <c r="J67" s="125">
        <f>HLOOKUP($B$9,'SAISIE DES DONNEES SAMT'!$D$4:$Y$160,141,FALSE)</f>
        <v>39995.056900000003</v>
      </c>
      <c r="K67" s="69"/>
      <c r="L67" s="69"/>
      <c r="M67" s="126"/>
      <c r="N67" s="126"/>
      <c r="O67" s="150">
        <f t="shared" si="27"/>
        <v>0.14049725479950492</v>
      </c>
      <c r="P67" s="151">
        <f t="shared" si="28"/>
        <v>5619.1956999999966</v>
      </c>
      <c r="Q67" s="126"/>
      <c r="R67" s="127">
        <f>HLOOKUP($B$9,'SAISIE DES DONNEES SAMT'!$D$4:$Y$160,44,FALSE)</f>
        <v>48715.896327000002</v>
      </c>
      <c r="S67" s="126"/>
      <c r="T67" s="126"/>
      <c r="U67" s="126"/>
      <c r="V67" s="126"/>
      <c r="W67" s="126"/>
      <c r="X67" s="126"/>
      <c r="Y67" s="126"/>
      <c r="Z67" s="126"/>
      <c r="AA67" s="126"/>
    </row>
    <row r="68" spans="2:27" ht="14.4" x14ac:dyDescent="0.2">
      <c r="B68" s="329"/>
      <c r="C68" s="128" t="s">
        <v>121</v>
      </c>
      <c r="D68" s="129"/>
      <c r="F68" s="130">
        <f>IFERROR($F$13/F66,"")</f>
        <v>55582.897139379187</v>
      </c>
      <c r="G68" s="131"/>
      <c r="H68" s="131"/>
      <c r="I68" s="131"/>
      <c r="J68" s="130">
        <f>IFERROR($J$13/J66,"")</f>
        <v>46344.18794645663</v>
      </c>
      <c r="K68" s="131"/>
      <c r="L68" s="131"/>
      <c r="M68" s="126"/>
      <c r="N68" s="126"/>
      <c r="O68" s="160">
        <f t="shared" si="27"/>
        <v>0.19934989914153678</v>
      </c>
      <c r="P68" s="180">
        <f t="shared" si="28"/>
        <v>9238.7091929225571</v>
      </c>
      <c r="Q68" s="126"/>
      <c r="R68" s="126"/>
      <c r="S68" s="126"/>
      <c r="T68" s="126"/>
      <c r="U68" s="126"/>
      <c r="V68" s="126"/>
      <c r="W68" s="126"/>
      <c r="X68" s="126"/>
      <c r="Y68" s="126"/>
      <c r="Z68" s="126"/>
      <c r="AA68" s="126"/>
    </row>
    <row r="69" spans="2:27" ht="7.2" customHeight="1" x14ac:dyDescent="0.2">
      <c r="B69" s="132"/>
      <c r="C69" s="61"/>
      <c r="D69" s="100"/>
      <c r="F69" s="136"/>
      <c r="G69" s="136"/>
      <c r="H69" s="136"/>
      <c r="I69" s="136"/>
      <c r="J69" s="136"/>
      <c r="K69" s="136"/>
      <c r="L69" s="136"/>
    </row>
    <row r="71" spans="2:27" ht="23.4" x14ac:dyDescent="0.2">
      <c r="B71" s="314" t="s">
        <v>122</v>
      </c>
      <c r="C71" s="315"/>
      <c r="D71" s="315"/>
      <c r="E71" s="315"/>
      <c r="F71" s="315"/>
      <c r="G71" s="315"/>
      <c r="H71" s="315"/>
      <c r="I71" s="315"/>
      <c r="J71" s="315"/>
      <c r="K71" s="315"/>
      <c r="L71" s="315"/>
      <c r="M71" s="315"/>
      <c r="N71" s="315"/>
      <c r="O71" s="315"/>
      <c r="P71" s="315"/>
      <c r="Q71" s="315"/>
      <c r="R71" s="315"/>
    </row>
    <row r="73" spans="2:27" x14ac:dyDescent="0.2">
      <c r="B73" s="318" t="s">
        <v>199</v>
      </c>
      <c r="C73" s="319"/>
      <c r="D73" s="319"/>
      <c r="E73" s="319"/>
      <c r="F73" s="319"/>
      <c r="G73" s="319"/>
      <c r="H73" s="319"/>
      <c r="I73" s="319"/>
      <c r="J73" s="319"/>
      <c r="K73" s="319"/>
      <c r="L73" s="319"/>
      <c r="M73" s="319"/>
      <c r="N73" s="319"/>
      <c r="O73" s="319"/>
      <c r="P73" s="319"/>
      <c r="Q73" s="319"/>
      <c r="R73" s="320"/>
    </row>
    <row r="74" spans="2:27" x14ac:dyDescent="0.2">
      <c r="B74" s="321"/>
      <c r="C74" s="322"/>
      <c r="D74" s="322"/>
      <c r="E74" s="322"/>
      <c r="F74" s="322"/>
      <c r="G74" s="322"/>
      <c r="H74" s="322"/>
      <c r="I74" s="322"/>
      <c r="J74" s="322"/>
      <c r="K74" s="322"/>
      <c r="L74" s="322"/>
      <c r="M74" s="322"/>
      <c r="N74" s="322"/>
      <c r="O74" s="322"/>
      <c r="P74" s="322"/>
      <c r="Q74" s="322"/>
      <c r="R74" s="323"/>
    </row>
    <row r="75" spans="2:27" x14ac:dyDescent="0.2">
      <c r="B75" s="321"/>
      <c r="C75" s="322"/>
      <c r="D75" s="322"/>
      <c r="E75" s="322"/>
      <c r="F75" s="322"/>
      <c r="G75" s="322"/>
      <c r="H75" s="322"/>
      <c r="I75" s="322"/>
      <c r="J75" s="322"/>
      <c r="K75" s="322"/>
      <c r="L75" s="322"/>
      <c r="M75" s="322"/>
      <c r="N75" s="322"/>
      <c r="O75" s="322"/>
      <c r="P75" s="322"/>
      <c r="Q75" s="322"/>
      <c r="R75" s="323"/>
    </row>
    <row r="76" spans="2:27" x14ac:dyDescent="0.2">
      <c r="B76" s="321"/>
      <c r="C76" s="322"/>
      <c r="D76" s="322"/>
      <c r="E76" s="322"/>
      <c r="F76" s="322"/>
      <c r="G76" s="322"/>
      <c r="H76" s="322"/>
      <c r="I76" s="322"/>
      <c r="J76" s="322"/>
      <c r="K76" s="322"/>
      <c r="L76" s="322"/>
      <c r="M76" s="322"/>
      <c r="N76" s="322"/>
      <c r="O76" s="322"/>
      <c r="P76" s="322"/>
      <c r="Q76" s="322"/>
      <c r="R76" s="323"/>
    </row>
    <row r="77" spans="2:27" x14ac:dyDescent="0.2">
      <c r="B77" s="321"/>
      <c r="C77" s="322"/>
      <c r="D77" s="322"/>
      <c r="E77" s="322"/>
      <c r="F77" s="322"/>
      <c r="G77" s="322"/>
      <c r="H77" s="322"/>
      <c r="I77" s="322"/>
      <c r="J77" s="322"/>
      <c r="K77" s="322"/>
      <c r="L77" s="322"/>
      <c r="M77" s="322"/>
      <c r="N77" s="322"/>
      <c r="O77" s="322"/>
      <c r="P77" s="322"/>
      <c r="Q77" s="322"/>
      <c r="R77" s="323"/>
    </row>
    <row r="78" spans="2:27" x14ac:dyDescent="0.2">
      <c r="B78" s="321"/>
      <c r="C78" s="322"/>
      <c r="D78" s="322"/>
      <c r="E78" s="322"/>
      <c r="F78" s="322"/>
      <c r="G78" s="322"/>
      <c r="H78" s="322"/>
      <c r="I78" s="322"/>
      <c r="J78" s="322"/>
      <c r="K78" s="322"/>
      <c r="L78" s="322"/>
      <c r="M78" s="322"/>
      <c r="N78" s="322"/>
      <c r="O78" s="322"/>
      <c r="P78" s="322"/>
      <c r="Q78" s="322"/>
      <c r="R78" s="323"/>
    </row>
    <row r="79" spans="2:27" x14ac:dyDescent="0.2">
      <c r="B79" s="321"/>
      <c r="C79" s="322"/>
      <c r="D79" s="322"/>
      <c r="E79" s="322"/>
      <c r="F79" s="322"/>
      <c r="G79" s="322"/>
      <c r="H79" s="322"/>
      <c r="I79" s="322"/>
      <c r="J79" s="322"/>
      <c r="K79" s="322"/>
      <c r="L79" s="322"/>
      <c r="M79" s="322"/>
      <c r="N79" s="322"/>
      <c r="O79" s="322"/>
      <c r="P79" s="322"/>
      <c r="Q79" s="322"/>
      <c r="R79" s="323"/>
    </row>
    <row r="80" spans="2:27" x14ac:dyDescent="0.2">
      <c r="B80" s="321"/>
      <c r="C80" s="322"/>
      <c r="D80" s="322"/>
      <c r="E80" s="322"/>
      <c r="F80" s="322"/>
      <c r="G80" s="322"/>
      <c r="H80" s="322"/>
      <c r="I80" s="322"/>
      <c r="J80" s="322"/>
      <c r="K80" s="322"/>
      <c r="L80" s="322"/>
      <c r="M80" s="322"/>
      <c r="N80" s="322"/>
      <c r="O80" s="322"/>
      <c r="P80" s="322"/>
      <c r="Q80" s="322"/>
      <c r="R80" s="323"/>
    </row>
    <row r="81" spans="2:18" x14ac:dyDescent="0.2">
      <c r="B81" s="321"/>
      <c r="C81" s="322"/>
      <c r="D81" s="322"/>
      <c r="E81" s="322"/>
      <c r="F81" s="322"/>
      <c r="G81" s="322"/>
      <c r="H81" s="322"/>
      <c r="I81" s="322"/>
      <c r="J81" s="322"/>
      <c r="K81" s="322"/>
      <c r="L81" s="322"/>
      <c r="M81" s="322"/>
      <c r="N81" s="322"/>
      <c r="O81" s="322"/>
      <c r="P81" s="322"/>
      <c r="Q81" s="322"/>
      <c r="R81" s="323"/>
    </row>
    <row r="82" spans="2:18" x14ac:dyDescent="0.2">
      <c r="B82" s="321"/>
      <c r="C82" s="322"/>
      <c r="D82" s="322"/>
      <c r="E82" s="322"/>
      <c r="F82" s="322"/>
      <c r="G82" s="322"/>
      <c r="H82" s="322"/>
      <c r="I82" s="322"/>
      <c r="J82" s="322"/>
      <c r="K82" s="322"/>
      <c r="L82" s="322"/>
      <c r="M82" s="322"/>
      <c r="N82" s="322"/>
      <c r="O82" s="322"/>
      <c r="P82" s="322"/>
      <c r="Q82" s="322"/>
      <c r="R82" s="323"/>
    </row>
    <row r="83" spans="2:18" x14ac:dyDescent="0.2">
      <c r="B83" s="321"/>
      <c r="C83" s="322"/>
      <c r="D83" s="322"/>
      <c r="E83" s="322"/>
      <c r="F83" s="322"/>
      <c r="G83" s="322"/>
      <c r="H83" s="322"/>
      <c r="I83" s="322"/>
      <c r="J83" s="322"/>
      <c r="K83" s="322"/>
      <c r="L83" s="322"/>
      <c r="M83" s="322"/>
      <c r="N83" s="322"/>
      <c r="O83" s="322"/>
      <c r="P83" s="322"/>
      <c r="Q83" s="322"/>
      <c r="R83" s="323"/>
    </row>
    <row r="84" spans="2:18" x14ac:dyDescent="0.2">
      <c r="B84" s="324"/>
      <c r="C84" s="325"/>
      <c r="D84" s="325"/>
      <c r="E84" s="325"/>
      <c r="F84" s="325"/>
      <c r="G84" s="325"/>
      <c r="H84" s="325"/>
      <c r="I84" s="325"/>
      <c r="J84" s="325"/>
      <c r="K84" s="325"/>
      <c r="L84" s="325"/>
      <c r="M84" s="325"/>
      <c r="N84" s="325"/>
      <c r="O84" s="325"/>
      <c r="P84" s="325"/>
      <c r="Q84" s="325"/>
      <c r="R84" s="326"/>
    </row>
    <row r="86" spans="2:18" ht="23.4" x14ac:dyDescent="0.2">
      <c r="B86" s="314" t="s">
        <v>187</v>
      </c>
      <c r="C86" s="315"/>
      <c r="D86" s="315"/>
      <c r="E86" s="315"/>
      <c r="F86" s="315"/>
      <c r="G86" s="315"/>
      <c r="H86" s="315"/>
      <c r="I86" s="315"/>
      <c r="J86" s="315"/>
      <c r="K86" s="315"/>
      <c r="L86" s="315"/>
      <c r="M86" s="315"/>
      <c r="N86" s="315"/>
      <c r="O86" s="315"/>
      <c r="P86" s="315"/>
      <c r="Q86" s="315"/>
      <c r="R86" s="315"/>
    </row>
    <row r="87" spans="2:18" x14ac:dyDescent="0.2">
      <c r="I87" s="194"/>
      <c r="M87" s="194"/>
    </row>
    <row r="88" spans="2:18" x14ac:dyDescent="0.2">
      <c r="B88" s="318" t="s">
        <v>188</v>
      </c>
      <c r="C88" s="319"/>
      <c r="D88" s="319"/>
      <c r="E88" s="319"/>
      <c r="F88" s="319"/>
      <c r="G88" s="319"/>
      <c r="H88" s="319"/>
      <c r="I88" s="319"/>
      <c r="J88" s="319"/>
      <c r="K88" s="319"/>
      <c r="L88" s="319"/>
      <c r="M88" s="319"/>
      <c r="N88" s="319"/>
      <c r="O88" s="319"/>
      <c r="P88" s="319"/>
      <c r="Q88" s="319"/>
      <c r="R88" s="320"/>
    </row>
    <row r="89" spans="2:18" x14ac:dyDescent="0.2">
      <c r="B89" s="321"/>
      <c r="C89" s="322"/>
      <c r="D89" s="322"/>
      <c r="E89" s="322"/>
      <c r="F89" s="322"/>
      <c r="G89" s="322"/>
      <c r="H89" s="322"/>
      <c r="I89" s="322"/>
      <c r="J89" s="322"/>
      <c r="K89" s="322"/>
      <c r="L89" s="322"/>
      <c r="M89" s="322"/>
      <c r="N89" s="322"/>
      <c r="O89" s="322"/>
      <c r="P89" s="322"/>
      <c r="Q89" s="322"/>
      <c r="R89" s="323"/>
    </row>
    <row r="90" spans="2:18" x14ac:dyDescent="0.2">
      <c r="B90" s="321"/>
      <c r="C90" s="322"/>
      <c r="D90" s="322"/>
      <c r="E90" s="322"/>
      <c r="F90" s="322"/>
      <c r="G90" s="322"/>
      <c r="H90" s="322"/>
      <c r="I90" s="322"/>
      <c r="J90" s="322"/>
      <c r="K90" s="322"/>
      <c r="L90" s="322"/>
      <c r="M90" s="322"/>
      <c r="N90" s="322"/>
      <c r="O90" s="322"/>
      <c r="P90" s="322"/>
      <c r="Q90" s="322"/>
      <c r="R90" s="323"/>
    </row>
    <row r="91" spans="2:18" x14ac:dyDescent="0.2">
      <c r="B91" s="321"/>
      <c r="C91" s="322"/>
      <c r="D91" s="322"/>
      <c r="E91" s="322"/>
      <c r="F91" s="322"/>
      <c r="G91" s="322"/>
      <c r="H91" s="322"/>
      <c r="I91" s="322"/>
      <c r="J91" s="322"/>
      <c r="K91" s="322"/>
      <c r="L91" s="322"/>
      <c r="M91" s="322"/>
      <c r="N91" s="322"/>
      <c r="O91" s="322"/>
      <c r="P91" s="322"/>
      <c r="Q91" s="322"/>
      <c r="R91" s="323"/>
    </row>
    <row r="92" spans="2:18" x14ac:dyDescent="0.2">
      <c r="B92" s="321"/>
      <c r="C92" s="322"/>
      <c r="D92" s="322"/>
      <c r="E92" s="322"/>
      <c r="F92" s="322"/>
      <c r="G92" s="322"/>
      <c r="H92" s="322"/>
      <c r="I92" s="322"/>
      <c r="J92" s="322"/>
      <c r="K92" s="322"/>
      <c r="L92" s="322"/>
      <c r="M92" s="322"/>
      <c r="N92" s="322"/>
      <c r="O92" s="322"/>
      <c r="P92" s="322"/>
      <c r="Q92" s="322"/>
      <c r="R92" s="323"/>
    </row>
    <row r="93" spans="2:18" x14ac:dyDescent="0.2">
      <c r="B93" s="321"/>
      <c r="C93" s="322"/>
      <c r="D93" s="322"/>
      <c r="E93" s="322"/>
      <c r="F93" s="322"/>
      <c r="G93" s="322"/>
      <c r="H93" s="322"/>
      <c r="I93" s="322"/>
      <c r="J93" s="322"/>
      <c r="K93" s="322"/>
      <c r="L93" s="322"/>
      <c r="M93" s="322"/>
      <c r="N93" s="322"/>
      <c r="O93" s="322"/>
      <c r="P93" s="322"/>
      <c r="Q93" s="322"/>
      <c r="R93" s="323"/>
    </row>
    <row r="94" spans="2:18" x14ac:dyDescent="0.2">
      <c r="B94" s="321"/>
      <c r="C94" s="322"/>
      <c r="D94" s="322"/>
      <c r="E94" s="322"/>
      <c r="F94" s="322"/>
      <c r="G94" s="322"/>
      <c r="H94" s="322"/>
      <c r="I94" s="322"/>
      <c r="J94" s="322"/>
      <c r="K94" s="322"/>
      <c r="L94" s="322"/>
      <c r="M94" s="322"/>
      <c r="N94" s="322"/>
      <c r="O94" s="322"/>
      <c r="P94" s="322"/>
      <c r="Q94" s="322"/>
      <c r="R94" s="323"/>
    </row>
    <row r="95" spans="2:18" x14ac:dyDescent="0.2">
      <c r="B95" s="321"/>
      <c r="C95" s="322"/>
      <c r="D95" s="322"/>
      <c r="E95" s="322"/>
      <c r="F95" s="322"/>
      <c r="G95" s="322"/>
      <c r="H95" s="322"/>
      <c r="I95" s="322"/>
      <c r="J95" s="322"/>
      <c r="K95" s="322"/>
      <c r="L95" s="322"/>
      <c r="M95" s="322"/>
      <c r="N95" s="322"/>
      <c r="O95" s="322"/>
      <c r="P95" s="322"/>
      <c r="Q95" s="322"/>
      <c r="R95" s="323"/>
    </row>
    <row r="96" spans="2:18" x14ac:dyDescent="0.2">
      <c r="B96" s="321"/>
      <c r="C96" s="322"/>
      <c r="D96" s="322"/>
      <c r="E96" s="322"/>
      <c r="F96" s="322"/>
      <c r="G96" s="322"/>
      <c r="H96" s="322"/>
      <c r="I96" s="322"/>
      <c r="J96" s="322"/>
      <c r="K96" s="322"/>
      <c r="L96" s="322"/>
      <c r="M96" s="322"/>
      <c r="N96" s="322"/>
      <c r="O96" s="322"/>
      <c r="P96" s="322"/>
      <c r="Q96" s="322"/>
      <c r="R96" s="323"/>
    </row>
    <row r="97" spans="2:18" x14ac:dyDescent="0.2">
      <c r="B97" s="321"/>
      <c r="C97" s="322"/>
      <c r="D97" s="322"/>
      <c r="E97" s="322"/>
      <c r="F97" s="322"/>
      <c r="G97" s="322"/>
      <c r="H97" s="322"/>
      <c r="I97" s="322"/>
      <c r="J97" s="322"/>
      <c r="K97" s="322"/>
      <c r="L97" s="322"/>
      <c r="M97" s="322"/>
      <c r="N97" s="322"/>
      <c r="O97" s="322"/>
      <c r="P97" s="322"/>
      <c r="Q97" s="322"/>
      <c r="R97" s="323"/>
    </row>
    <row r="98" spans="2:18" x14ac:dyDescent="0.2">
      <c r="B98" s="321"/>
      <c r="C98" s="322"/>
      <c r="D98" s="322"/>
      <c r="E98" s="322"/>
      <c r="F98" s="322"/>
      <c r="G98" s="322"/>
      <c r="H98" s="322"/>
      <c r="I98" s="322"/>
      <c r="J98" s="322"/>
      <c r="K98" s="322"/>
      <c r="L98" s="322"/>
      <c r="M98" s="322"/>
      <c r="N98" s="322"/>
      <c r="O98" s="322"/>
      <c r="P98" s="322"/>
      <c r="Q98" s="322"/>
      <c r="R98" s="323"/>
    </row>
    <row r="99" spans="2:18" x14ac:dyDescent="0.2">
      <c r="B99" s="321"/>
      <c r="C99" s="322"/>
      <c r="D99" s="322"/>
      <c r="E99" s="322"/>
      <c r="F99" s="322"/>
      <c r="G99" s="322"/>
      <c r="H99" s="322"/>
      <c r="I99" s="322"/>
      <c r="J99" s="322"/>
      <c r="K99" s="322"/>
      <c r="L99" s="322"/>
      <c r="M99" s="322"/>
      <c r="N99" s="322"/>
      <c r="O99" s="322"/>
      <c r="P99" s="322"/>
      <c r="Q99" s="322"/>
      <c r="R99" s="323"/>
    </row>
    <row r="100" spans="2:18" x14ac:dyDescent="0.2">
      <c r="B100" s="321"/>
      <c r="C100" s="322"/>
      <c r="D100" s="322"/>
      <c r="E100" s="322"/>
      <c r="F100" s="322"/>
      <c r="G100" s="322"/>
      <c r="H100" s="322"/>
      <c r="I100" s="322"/>
      <c r="J100" s="322"/>
      <c r="K100" s="322"/>
      <c r="L100" s="322"/>
      <c r="M100" s="322"/>
      <c r="N100" s="322"/>
      <c r="O100" s="322"/>
      <c r="P100" s="322"/>
      <c r="Q100" s="322"/>
      <c r="R100" s="323"/>
    </row>
    <row r="101" spans="2:18" x14ac:dyDescent="0.2">
      <c r="B101" s="321"/>
      <c r="C101" s="322"/>
      <c r="D101" s="322"/>
      <c r="E101" s="322"/>
      <c r="F101" s="322"/>
      <c r="G101" s="322"/>
      <c r="H101" s="322"/>
      <c r="I101" s="322"/>
      <c r="J101" s="322"/>
      <c r="K101" s="322"/>
      <c r="L101" s="322"/>
      <c r="M101" s="322"/>
      <c r="N101" s="322"/>
      <c r="O101" s="322"/>
      <c r="P101" s="322"/>
      <c r="Q101" s="322"/>
      <c r="R101" s="323"/>
    </row>
    <row r="102" spans="2:18" x14ac:dyDescent="0.2">
      <c r="B102" s="321"/>
      <c r="C102" s="322"/>
      <c r="D102" s="322"/>
      <c r="E102" s="322"/>
      <c r="F102" s="322"/>
      <c r="G102" s="322"/>
      <c r="H102" s="322"/>
      <c r="I102" s="322"/>
      <c r="J102" s="322"/>
      <c r="K102" s="322"/>
      <c r="L102" s="322"/>
      <c r="M102" s="322"/>
      <c r="N102" s="322"/>
      <c r="O102" s="322"/>
      <c r="P102" s="322"/>
      <c r="Q102" s="322"/>
      <c r="R102" s="323"/>
    </row>
    <row r="103" spans="2:18" x14ac:dyDescent="0.2">
      <c r="B103" s="321"/>
      <c r="C103" s="322"/>
      <c r="D103" s="322"/>
      <c r="E103" s="322"/>
      <c r="F103" s="322"/>
      <c r="G103" s="322"/>
      <c r="H103" s="322"/>
      <c r="I103" s="322"/>
      <c r="J103" s="322"/>
      <c r="K103" s="322"/>
      <c r="L103" s="322"/>
      <c r="M103" s="322"/>
      <c r="N103" s="322"/>
      <c r="O103" s="322"/>
      <c r="P103" s="322"/>
      <c r="Q103" s="322"/>
      <c r="R103" s="323"/>
    </row>
    <row r="104" spans="2:18" x14ac:dyDescent="0.2">
      <c r="B104" s="321"/>
      <c r="C104" s="322"/>
      <c r="D104" s="322"/>
      <c r="E104" s="322"/>
      <c r="F104" s="322"/>
      <c r="G104" s="322"/>
      <c r="H104" s="322"/>
      <c r="I104" s="322"/>
      <c r="J104" s="322"/>
      <c r="K104" s="322"/>
      <c r="L104" s="322"/>
      <c r="M104" s="322"/>
      <c r="N104" s="322"/>
      <c r="O104" s="322"/>
      <c r="P104" s="322"/>
      <c r="Q104" s="322"/>
      <c r="R104" s="323"/>
    </row>
    <row r="105" spans="2:18" x14ac:dyDescent="0.2">
      <c r="B105" s="324"/>
      <c r="C105" s="325"/>
      <c r="D105" s="325"/>
      <c r="E105" s="325"/>
      <c r="F105" s="325"/>
      <c r="G105" s="325"/>
      <c r="H105" s="325"/>
      <c r="I105" s="325"/>
      <c r="J105" s="325"/>
      <c r="K105" s="325"/>
      <c r="L105" s="325"/>
      <c r="M105" s="325"/>
      <c r="N105" s="325"/>
      <c r="O105" s="325"/>
      <c r="P105" s="325"/>
      <c r="Q105" s="325"/>
      <c r="R105" s="326"/>
    </row>
  </sheetData>
  <mergeCells count="36">
    <mergeCell ref="B86:R86"/>
    <mergeCell ref="B88:R105"/>
    <mergeCell ref="C52:D52"/>
    <mergeCell ref="C54:D54"/>
    <mergeCell ref="B56:R56"/>
    <mergeCell ref="B58:B60"/>
    <mergeCell ref="B62:B64"/>
    <mergeCell ref="B66:B68"/>
    <mergeCell ref="B71:R71"/>
    <mergeCell ref="B73:R84"/>
    <mergeCell ref="B17:R17"/>
    <mergeCell ref="B18:R18"/>
    <mergeCell ref="O19:P19"/>
    <mergeCell ref="O15:V15"/>
    <mergeCell ref="C50:D50"/>
    <mergeCell ref="F14:H14"/>
    <mergeCell ref="J14:L14"/>
    <mergeCell ref="O14:V14"/>
    <mergeCell ref="F16:H16"/>
    <mergeCell ref="J16:L16"/>
    <mergeCell ref="O16:V16"/>
    <mergeCell ref="F15:H15"/>
    <mergeCell ref="J15:L15"/>
    <mergeCell ref="B11:D11"/>
    <mergeCell ref="F11:H11"/>
    <mergeCell ref="J11:L11"/>
    <mergeCell ref="C13:D13"/>
    <mergeCell ref="F13:H13"/>
    <mergeCell ref="J13:L13"/>
    <mergeCell ref="B1:AA1"/>
    <mergeCell ref="B2:AA2"/>
    <mergeCell ref="B4:R7"/>
    <mergeCell ref="B9:D9"/>
    <mergeCell ref="F9:H9"/>
    <mergeCell ref="J9:L9"/>
    <mergeCell ref="O9:P9"/>
  </mergeCells>
  <conditionalFormatting sqref="K58">
    <cfRule type="cellIs" dxfId="118" priority="119" operator="equal">
      <formula>0</formula>
    </cfRule>
  </conditionalFormatting>
  <conditionalFormatting sqref="K62">
    <cfRule type="cellIs" dxfId="117" priority="118" operator="equal">
      <formula>0</formula>
    </cfRule>
  </conditionalFormatting>
  <conditionalFormatting sqref="K66">
    <cfRule type="cellIs" dxfId="116" priority="117" operator="equal">
      <formula>0</formula>
    </cfRule>
  </conditionalFormatting>
  <conditionalFormatting sqref="L58">
    <cfRule type="cellIs" dxfId="115" priority="116" operator="equal">
      <formula>0</formula>
    </cfRule>
  </conditionalFormatting>
  <conditionalFormatting sqref="L62">
    <cfRule type="cellIs" dxfId="114" priority="115" operator="equal">
      <formula>0</formula>
    </cfRule>
  </conditionalFormatting>
  <conditionalFormatting sqref="J11:L11 I13">
    <cfRule type="expression" dxfId="113" priority="113">
      <formula>$B$3&lt;&gt;""</formula>
    </cfRule>
  </conditionalFormatting>
  <conditionalFormatting sqref="O58:O60">
    <cfRule type="expression" dxfId="112" priority="61" stopIfTrue="1">
      <formula>$B$3&lt;&gt;""</formula>
    </cfRule>
  </conditionalFormatting>
  <conditionalFormatting sqref="O58:O60">
    <cfRule type="cellIs" dxfId="111" priority="62" operator="lessThan">
      <formula>0</formula>
    </cfRule>
    <cfRule type="cellIs" dxfId="110" priority="63" operator="greaterThanOrEqual">
      <formula>0</formula>
    </cfRule>
  </conditionalFormatting>
  <conditionalFormatting sqref="P58:P60">
    <cfRule type="expression" dxfId="109" priority="58" stopIfTrue="1">
      <formula>$B$3&lt;&gt;""</formula>
    </cfRule>
  </conditionalFormatting>
  <conditionalFormatting sqref="P58:P60">
    <cfRule type="cellIs" dxfId="108" priority="59" operator="lessThan">
      <formula>0</formula>
    </cfRule>
    <cfRule type="cellIs" dxfId="107" priority="60" operator="greaterThanOrEqual">
      <formula>0</formula>
    </cfRule>
  </conditionalFormatting>
  <conditionalFormatting sqref="G58">
    <cfRule type="cellIs" dxfId="106" priority="127" operator="equal">
      <formula>0</formula>
    </cfRule>
  </conditionalFormatting>
  <conditionalFormatting sqref="G62">
    <cfRule type="cellIs" dxfId="105" priority="126" operator="equal">
      <formula>0</formula>
    </cfRule>
  </conditionalFormatting>
  <conditionalFormatting sqref="G66">
    <cfRule type="cellIs" dxfId="104" priority="125" operator="equal">
      <formula>0</formula>
    </cfRule>
  </conditionalFormatting>
  <conditionalFormatting sqref="H58:I58">
    <cfRule type="cellIs" dxfId="103" priority="124" operator="equal">
      <formula>0</formula>
    </cfRule>
  </conditionalFormatting>
  <conditionalFormatting sqref="H62:I62">
    <cfRule type="cellIs" dxfId="102" priority="123" operator="equal">
      <formula>0</formula>
    </cfRule>
  </conditionalFormatting>
  <conditionalFormatting sqref="H66:I66">
    <cfRule type="cellIs" dxfId="101" priority="122" operator="equal">
      <formula>0</formula>
    </cfRule>
  </conditionalFormatting>
  <conditionalFormatting sqref="F11:I11">
    <cfRule type="expression" dxfId="100" priority="120">
      <formula>$B$3&lt;&gt;""</formula>
    </cfRule>
  </conditionalFormatting>
  <conditionalFormatting sqref="L66">
    <cfRule type="cellIs" dxfId="99" priority="114" operator="equal">
      <formula>0</formula>
    </cfRule>
  </conditionalFormatting>
  <conditionalFormatting sqref="O37">
    <cfRule type="expression" dxfId="98" priority="107" stopIfTrue="1">
      <formula>$B$3&lt;&gt;""</formula>
    </cfRule>
  </conditionalFormatting>
  <conditionalFormatting sqref="O37">
    <cfRule type="cellIs" dxfId="97" priority="108" operator="lessThan">
      <formula>0</formula>
    </cfRule>
    <cfRule type="cellIs" dxfId="96" priority="109" operator="greaterThanOrEqual">
      <formula>0</formula>
    </cfRule>
  </conditionalFormatting>
  <conditionalFormatting sqref="O20:O36">
    <cfRule type="expression" dxfId="95" priority="104" stopIfTrue="1">
      <formula>$B$3&lt;&gt;""</formula>
    </cfRule>
  </conditionalFormatting>
  <conditionalFormatting sqref="O20:O36">
    <cfRule type="cellIs" dxfId="94" priority="105" operator="lessThan">
      <formula>0</formula>
    </cfRule>
    <cfRule type="cellIs" dxfId="93" priority="106" operator="greaterThanOrEqual">
      <formula>0</formula>
    </cfRule>
  </conditionalFormatting>
  <conditionalFormatting sqref="P66:P68">
    <cfRule type="expression" dxfId="92" priority="74" stopIfTrue="1">
      <formula>$B$3&lt;&gt;""</formula>
    </cfRule>
  </conditionalFormatting>
  <conditionalFormatting sqref="P66:P68">
    <cfRule type="cellIs" dxfId="91" priority="75" operator="lessThan">
      <formula>0</formula>
    </cfRule>
    <cfRule type="cellIs" dxfId="90" priority="76" operator="greaterThanOrEqual">
      <formula>0</formula>
    </cfRule>
  </conditionalFormatting>
  <conditionalFormatting sqref="O38:O41">
    <cfRule type="expression" dxfId="89" priority="101" stopIfTrue="1">
      <formula>$B$3&lt;&gt;""</formula>
    </cfRule>
  </conditionalFormatting>
  <conditionalFormatting sqref="O38:O41">
    <cfRule type="cellIs" dxfId="88" priority="102" operator="lessThan">
      <formula>0</formula>
    </cfRule>
    <cfRule type="cellIs" dxfId="87" priority="103" operator="greaterThanOrEqual">
      <formula>0</formula>
    </cfRule>
  </conditionalFormatting>
  <conditionalFormatting sqref="O13">
    <cfRule type="expression" dxfId="86" priority="98" stopIfTrue="1">
      <formula>$B$3&lt;&gt;""</formula>
    </cfRule>
  </conditionalFormatting>
  <conditionalFormatting sqref="O13">
    <cfRule type="cellIs" dxfId="85" priority="99" operator="lessThan">
      <formula>0</formula>
    </cfRule>
    <cfRule type="cellIs" dxfId="84" priority="100" operator="greaterThanOrEqual">
      <formula>0</formula>
    </cfRule>
  </conditionalFormatting>
  <conditionalFormatting sqref="O11">
    <cfRule type="expression" dxfId="83" priority="95" stopIfTrue="1">
      <formula>$B$3&lt;&gt;""</formula>
    </cfRule>
  </conditionalFormatting>
  <conditionalFormatting sqref="O11">
    <cfRule type="cellIs" dxfId="82" priority="96" operator="lessThan">
      <formula>0</formula>
    </cfRule>
    <cfRule type="cellIs" dxfId="81" priority="97" operator="greaterThanOrEqual">
      <formula>0</formula>
    </cfRule>
  </conditionalFormatting>
  <conditionalFormatting sqref="O66:O68">
    <cfRule type="expression" dxfId="80" priority="92" stopIfTrue="1">
      <formula>$B$3&lt;&gt;""</formula>
    </cfRule>
  </conditionalFormatting>
  <conditionalFormatting sqref="O66:O68">
    <cfRule type="cellIs" dxfId="79" priority="93" operator="lessThan">
      <formula>0</formula>
    </cfRule>
    <cfRule type="cellIs" dxfId="78" priority="94" operator="greaterThanOrEqual">
      <formula>0</formula>
    </cfRule>
  </conditionalFormatting>
  <conditionalFormatting sqref="P38:P41">
    <cfRule type="expression" dxfId="77" priority="77" stopIfTrue="1">
      <formula>$B$3&lt;&gt;""</formula>
    </cfRule>
  </conditionalFormatting>
  <conditionalFormatting sqref="P38:P41">
    <cfRule type="cellIs" dxfId="76" priority="78" operator="lessThan">
      <formula>0</formula>
    </cfRule>
    <cfRule type="cellIs" dxfId="75" priority="79" operator="greaterThanOrEqual">
      <formula>0</formula>
    </cfRule>
  </conditionalFormatting>
  <conditionalFormatting sqref="P11">
    <cfRule type="expression" dxfId="74" priority="89" stopIfTrue="1">
      <formula>$B$3&lt;&gt;""</formula>
    </cfRule>
  </conditionalFormatting>
  <conditionalFormatting sqref="P11">
    <cfRule type="cellIs" dxfId="73" priority="90" operator="lessThan">
      <formula>0</formula>
    </cfRule>
    <cfRule type="cellIs" dxfId="72" priority="91" operator="greaterThanOrEqual">
      <formula>0</formula>
    </cfRule>
  </conditionalFormatting>
  <conditionalFormatting sqref="P13">
    <cfRule type="expression" dxfId="71" priority="86" stopIfTrue="1">
      <formula>$B$3&lt;&gt;""</formula>
    </cfRule>
  </conditionalFormatting>
  <conditionalFormatting sqref="P13">
    <cfRule type="cellIs" dxfId="70" priority="87" operator="lessThan">
      <formula>0</formula>
    </cfRule>
    <cfRule type="cellIs" dxfId="69" priority="88" operator="greaterThanOrEqual">
      <formula>0</formula>
    </cfRule>
  </conditionalFormatting>
  <conditionalFormatting sqref="P20:P36">
    <cfRule type="expression" dxfId="68" priority="80" stopIfTrue="1">
      <formula>$B$3&lt;&gt;""</formula>
    </cfRule>
  </conditionalFormatting>
  <conditionalFormatting sqref="P20:P36">
    <cfRule type="cellIs" dxfId="67" priority="81" operator="lessThan">
      <formula>0</formula>
    </cfRule>
    <cfRule type="cellIs" dxfId="66" priority="82" operator="greaterThanOrEqual">
      <formula>0</formula>
    </cfRule>
  </conditionalFormatting>
  <conditionalFormatting sqref="P37">
    <cfRule type="expression" dxfId="65" priority="83" stopIfTrue="1">
      <formula>$B$3&lt;&gt;""</formula>
    </cfRule>
  </conditionalFormatting>
  <conditionalFormatting sqref="P37">
    <cfRule type="cellIs" dxfId="64" priority="84" operator="lessThan">
      <formula>0</formula>
    </cfRule>
    <cfRule type="cellIs" dxfId="63" priority="85" operator="greaterThanOrEqual">
      <formula>0</formula>
    </cfRule>
  </conditionalFormatting>
  <conditionalFormatting sqref="F11:L11">
    <cfRule type="expression" dxfId="62" priority="128">
      <formula>#REF!&lt;=0</formula>
    </cfRule>
    <cfRule type="expression" dxfId="61" priority="129">
      <formula>#REF!&gt;0</formula>
    </cfRule>
  </conditionalFormatting>
  <conditionalFormatting sqref="H37:I37">
    <cfRule type="expression" dxfId="60" priority="130">
      <formula>#REF!&lt;=0</formula>
    </cfRule>
    <cfRule type="expression" dxfId="59" priority="131">
      <formula>#REF!&gt;0</formula>
    </cfRule>
  </conditionalFormatting>
  <conditionalFormatting sqref="R9">
    <cfRule type="expression" dxfId="58" priority="132">
      <formula>#REF!&lt;&gt;""</formula>
    </cfRule>
  </conditionalFormatting>
  <conditionalFormatting sqref="R11">
    <cfRule type="expression" dxfId="57" priority="133">
      <formula>#REF!&lt;&gt;""</formula>
    </cfRule>
  </conditionalFormatting>
  <conditionalFormatting sqref="O42">
    <cfRule type="expression" dxfId="56" priority="71" stopIfTrue="1">
      <formula>$B$3&lt;&gt;""</formula>
    </cfRule>
  </conditionalFormatting>
  <conditionalFormatting sqref="O42">
    <cfRule type="cellIs" dxfId="55" priority="72" operator="lessThan">
      <formula>0</formula>
    </cfRule>
    <cfRule type="cellIs" dxfId="54" priority="73" operator="greaterThanOrEqual">
      <formula>0</formula>
    </cfRule>
  </conditionalFormatting>
  <conditionalFormatting sqref="P42">
    <cfRule type="expression" dxfId="53" priority="68" stopIfTrue="1">
      <formula>$B$3&lt;&gt;""</formula>
    </cfRule>
  </conditionalFormatting>
  <conditionalFormatting sqref="P42">
    <cfRule type="cellIs" dxfId="52" priority="69" operator="lessThan">
      <formula>0</formula>
    </cfRule>
    <cfRule type="cellIs" dxfId="51" priority="70" operator="greaterThanOrEqual">
      <formula>0</formula>
    </cfRule>
  </conditionalFormatting>
  <conditionalFormatting sqref="L37">
    <cfRule type="expression" dxfId="50" priority="134">
      <formula>#REF!&lt;=0</formula>
    </cfRule>
    <cfRule type="expression" dxfId="49" priority="135">
      <formula>#REF!&gt;0</formula>
    </cfRule>
  </conditionalFormatting>
  <conditionalFormatting sqref="P62:P64">
    <cfRule type="expression" dxfId="48" priority="52" stopIfTrue="1">
      <formula>$B$3&lt;&gt;""</formula>
    </cfRule>
  </conditionalFormatting>
  <conditionalFormatting sqref="P62:P64">
    <cfRule type="cellIs" dxfId="47" priority="53" operator="lessThan">
      <formula>0</formula>
    </cfRule>
    <cfRule type="cellIs" dxfId="46" priority="54" operator="greaterThanOrEqual">
      <formula>0</formula>
    </cfRule>
  </conditionalFormatting>
  <conditionalFormatting sqref="O62:O64">
    <cfRule type="expression" dxfId="45" priority="55" stopIfTrue="1">
      <formula>$B$3&lt;&gt;""</formula>
    </cfRule>
  </conditionalFormatting>
  <conditionalFormatting sqref="O62:O64">
    <cfRule type="cellIs" dxfId="44" priority="56" operator="lessThan">
      <formula>0</formula>
    </cfRule>
    <cfRule type="cellIs" dxfId="43" priority="57" operator="greaterThanOrEqual">
      <formula>0</formula>
    </cfRule>
  </conditionalFormatting>
  <conditionalFormatting sqref="O44:O48">
    <cfRule type="expression" dxfId="42" priority="45" stopIfTrue="1">
      <formula>$B$3&lt;&gt;""</formula>
    </cfRule>
  </conditionalFormatting>
  <conditionalFormatting sqref="O44:O48">
    <cfRule type="cellIs" dxfId="41" priority="46" operator="lessThan">
      <formula>0</formula>
    </cfRule>
    <cfRule type="cellIs" dxfId="40" priority="47" operator="greaterThanOrEqual">
      <formula>0</formula>
    </cfRule>
  </conditionalFormatting>
  <conditionalFormatting sqref="P44:P48">
    <cfRule type="expression" dxfId="39" priority="42" stopIfTrue="1">
      <formula>$B$3&lt;&gt;""</formula>
    </cfRule>
  </conditionalFormatting>
  <conditionalFormatting sqref="P44:P48">
    <cfRule type="cellIs" dxfId="38" priority="43" operator="lessThan">
      <formula>0</formula>
    </cfRule>
    <cfRule type="cellIs" dxfId="37" priority="44" operator="greaterThanOrEqual">
      <formula>0</formula>
    </cfRule>
  </conditionalFormatting>
  <conditionalFormatting sqref="O50">
    <cfRule type="expression" dxfId="36" priority="39" stopIfTrue="1">
      <formula>$B$3&lt;&gt;""</formula>
    </cfRule>
  </conditionalFormatting>
  <conditionalFormatting sqref="O50">
    <cfRule type="cellIs" dxfId="35" priority="40" operator="lessThan">
      <formula>0</formula>
    </cfRule>
    <cfRule type="cellIs" dxfId="34" priority="41" operator="greaterThanOrEqual">
      <formula>0</formula>
    </cfRule>
  </conditionalFormatting>
  <conditionalFormatting sqref="P50">
    <cfRule type="expression" dxfId="33" priority="36" stopIfTrue="1">
      <formula>$B$3&lt;&gt;""</formula>
    </cfRule>
  </conditionalFormatting>
  <conditionalFormatting sqref="P50">
    <cfRule type="cellIs" dxfId="32" priority="37" operator="lessThan">
      <formula>0</formula>
    </cfRule>
    <cfRule type="cellIs" dxfId="31" priority="38" operator="greaterThanOrEqual">
      <formula>0</formula>
    </cfRule>
  </conditionalFormatting>
  <conditionalFormatting sqref="O52:O53">
    <cfRule type="expression" dxfId="30" priority="33" stopIfTrue="1">
      <formula>$B$3&lt;&gt;""</formula>
    </cfRule>
  </conditionalFormatting>
  <conditionalFormatting sqref="O52:O53">
    <cfRule type="cellIs" dxfId="29" priority="34" operator="lessThan">
      <formula>0</formula>
    </cfRule>
    <cfRule type="cellIs" dxfId="28" priority="35" operator="greaterThanOrEqual">
      <formula>0</formula>
    </cfRule>
  </conditionalFormatting>
  <conditionalFormatting sqref="P52:P53">
    <cfRule type="expression" dxfId="27" priority="30" stopIfTrue="1">
      <formula>$B$3&lt;&gt;""</formula>
    </cfRule>
  </conditionalFormatting>
  <conditionalFormatting sqref="P52:P53">
    <cfRule type="cellIs" dxfId="26" priority="31" operator="lessThan">
      <formula>0</formula>
    </cfRule>
    <cfRule type="cellIs" dxfId="25" priority="32" operator="greaterThanOrEqual">
      <formula>0</formula>
    </cfRule>
  </conditionalFormatting>
  <conditionalFormatting sqref="O54">
    <cfRule type="expression" dxfId="24" priority="27" stopIfTrue="1">
      <formula>$B$3&lt;&gt;""</formula>
    </cfRule>
  </conditionalFormatting>
  <conditionalFormatting sqref="O54">
    <cfRule type="cellIs" dxfId="23" priority="28" operator="lessThan">
      <formula>0</formula>
    </cfRule>
    <cfRule type="cellIs" dxfId="22" priority="29" operator="greaterThanOrEqual">
      <formula>0</formula>
    </cfRule>
  </conditionalFormatting>
  <conditionalFormatting sqref="P54">
    <cfRule type="expression" dxfId="21" priority="24" stopIfTrue="1">
      <formula>$B$3&lt;&gt;""</formula>
    </cfRule>
  </conditionalFormatting>
  <conditionalFormatting sqref="P54">
    <cfRule type="cellIs" dxfId="20" priority="25" operator="lessThan">
      <formula>0</formula>
    </cfRule>
    <cfRule type="cellIs" dxfId="19" priority="26" operator="greaterThanOrEqual">
      <formula>0</formula>
    </cfRule>
  </conditionalFormatting>
  <conditionalFormatting sqref="H20:H36">
    <cfRule type="expression" dxfId="18" priority="22">
      <formula>#REF!&lt;=0</formula>
    </cfRule>
    <cfRule type="expression" dxfId="17" priority="23">
      <formula>#REF!&gt;0</formula>
    </cfRule>
  </conditionalFormatting>
  <conditionalFormatting sqref="L20:L36">
    <cfRule type="expression" dxfId="16" priority="20">
      <formula>#REF!&lt;=0</formula>
    </cfRule>
    <cfRule type="expression" dxfId="15" priority="21">
      <formula>#REF!&gt;0</formula>
    </cfRule>
  </conditionalFormatting>
  <conditionalFormatting sqref="F16:H16">
    <cfRule type="expression" dxfId="14" priority="13">
      <formula>$B$3&lt;&gt;""</formula>
    </cfRule>
  </conditionalFormatting>
  <conditionalFormatting sqref="F13:H13">
    <cfRule type="expression" dxfId="13" priority="16">
      <formula>$B$3&lt;&gt;""</formula>
    </cfRule>
  </conditionalFormatting>
  <conditionalFormatting sqref="F14:H14">
    <cfRule type="expression" dxfId="12" priority="15">
      <formula>$B$3&lt;&gt;""</formula>
    </cfRule>
  </conditionalFormatting>
  <conditionalFormatting sqref="F15:H15">
    <cfRule type="expression" dxfId="11" priority="14">
      <formula>$B$3&lt;&gt;""</formula>
    </cfRule>
  </conditionalFormatting>
  <conditionalFormatting sqref="F58">
    <cfRule type="cellIs" dxfId="10" priority="12" operator="equal">
      <formula>0</formula>
    </cfRule>
  </conditionalFormatting>
  <conditionalFormatting sqref="F62">
    <cfRule type="cellIs" dxfId="9" priority="11" operator="equal">
      <formula>0</formula>
    </cfRule>
  </conditionalFormatting>
  <conditionalFormatting sqref="F66">
    <cfRule type="cellIs" dxfId="8" priority="10" operator="equal">
      <formula>0</formula>
    </cfRule>
  </conditionalFormatting>
  <conditionalFormatting sqref="R59">
    <cfRule type="expression" dxfId="7" priority="9">
      <formula>#REF!&lt;&gt;""</formula>
    </cfRule>
  </conditionalFormatting>
  <conditionalFormatting sqref="R67">
    <cfRule type="expression" dxfId="6" priority="7">
      <formula>#REF!&lt;&gt;""</formula>
    </cfRule>
  </conditionalFormatting>
  <conditionalFormatting sqref="J13:L13">
    <cfRule type="expression" dxfId="5" priority="6">
      <formula>$B$3&lt;&gt;""</formula>
    </cfRule>
  </conditionalFormatting>
  <conditionalFormatting sqref="J14:L16">
    <cfRule type="expression" dxfId="4" priority="5">
      <formula>$B$3&lt;&gt;""</formula>
    </cfRule>
  </conditionalFormatting>
  <conditionalFormatting sqref="J58">
    <cfRule type="cellIs" dxfId="3" priority="4" operator="equal">
      <formula>0</formula>
    </cfRule>
  </conditionalFormatting>
  <conditionalFormatting sqref="J62">
    <cfRule type="cellIs" dxfId="2" priority="3" operator="equal">
      <formula>0</formula>
    </cfRule>
  </conditionalFormatting>
  <conditionalFormatting sqref="J66">
    <cfRule type="cellIs" dxfId="1" priority="2" operator="equal">
      <formula>0</formula>
    </cfRule>
  </conditionalFormatting>
  <conditionalFormatting sqref="B17">
    <cfRule type="expression" dxfId="0" priority="1">
      <formula>$B$3&lt;&gt;""</formula>
    </cfRule>
  </conditionalFormatting>
  <pageMargins left="0.7" right="0.7" top="0.75" bottom="0.75" header="0.3" footer="0.3"/>
  <pageSetup paperSize="9" scale="3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'SAISIE DES DONNEES SAMT'!$D$4:$I$4</xm:f>
          </x14:formula1>
          <xm:sqref>B9:D9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Fiche de contenu détaillée</vt:lpstr>
      <vt:lpstr>SAISIE DES DONNEES SAMT</vt:lpstr>
      <vt:lpstr>Maquette SAMT</vt:lpstr>
      <vt:lpstr>Titre_Graph_PT</vt:lpstr>
      <vt:lpstr>'Fiche de contenu détaillée'!Zone_d_impression</vt:lpstr>
      <vt:lpstr>'Maquette SAMT'!Zone_d_impression</vt:lpstr>
      <vt:lpstr>'SAISIE DES DONNEES SAMT'!Zone_d_impression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Agnès TEUTSCH</cp:lastModifiedBy>
  <cp:lastPrinted>2021-08-27T08:45:56Z</cp:lastPrinted>
  <dcterms:created xsi:type="dcterms:W3CDTF">2021-01-08T10:31:51Z</dcterms:created>
  <dcterms:modified xsi:type="dcterms:W3CDTF">2021-08-27T08:46:07Z</dcterms:modified>
</cp:coreProperties>
</file>