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Ex1.xml" ContentType="application/vnd.ms-office.chartex+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Ex2.xml" ContentType="application/vnd.ms-office.chartex+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codeName="ThisWorkbook" defaultThemeVersion="166925"/>
  <mc:AlternateContent xmlns:mc="http://schemas.openxmlformats.org/markup-compatibility/2006">
    <mc:Choice Requires="x15">
      <x15ac:absPath xmlns:x15ac="http://schemas.microsoft.com/office/spreadsheetml/2010/11/ac" url="P:\ENC\13 - ENC TOUS CHAMPS CONFONDUS\31-AO utilisation données\19_Mise à jour\MAJ 2024\"/>
    </mc:Choice>
  </mc:AlternateContent>
  <xr:revisionPtr revIDLastSave="0" documentId="13_ncr:1_{C55C3A2E-48A3-4D52-B0F9-1CC4244EC2BA}" xr6:coauthVersionLast="47" xr6:coauthVersionMax="47" xr10:uidLastSave="{00000000-0000-0000-0000-000000000000}"/>
  <bookViews>
    <workbookView xWindow="-28920" yWindow="-120" windowWidth="29040" windowHeight="15840" xr2:uid="{00000000-000D-0000-FFFF-FFFF00000000}"/>
  </bookViews>
  <sheets>
    <sheet name="Fiche de contenu détaillée" sheetId="1" r:id="rId1"/>
    <sheet name="SAISIE DES DONNEES SAMT" sheetId="6" r:id="rId2"/>
    <sheet name="SAISIE DES DONNEES SAMT (2)" sheetId="9" state="hidden" r:id="rId3"/>
    <sheet name="Maquette SAMT" sheetId="5" r:id="rId4"/>
    <sheet name="Feuil1" sheetId="7" r:id="rId5"/>
  </sheets>
  <definedNames>
    <definedName name="_xlchart.v1.0" hidden="1">'Maquette SAMT'!$C$47:$C$74</definedName>
    <definedName name="_xlchart.v1.1" hidden="1">'Maquette SAMT'!$F$46:$F$68</definedName>
    <definedName name="_xlchart.v1.2" hidden="1">'Maquette SAMT'!$F$47:$F$74</definedName>
    <definedName name="_xlchart.v1.3" hidden="1">Feuil1!$E$6</definedName>
    <definedName name="_xlchart.v1.4" hidden="1">Feuil1!$E$7:$E$34</definedName>
    <definedName name="_xlchart.v1.5" hidden="1">Feuil1!$F$6</definedName>
    <definedName name="_xlchart.v1.6" hidden="1">Feuil1!$F$7:$F$34</definedName>
    <definedName name="Titre_Graph_PT">'Maquette SAMT'!#REF!</definedName>
    <definedName name="_xlnm.Print_Area" localSheetId="0">'Fiche de contenu détaillée'!$B$1:$K$95</definedName>
    <definedName name="_xlnm.Print_Area" localSheetId="3">'Maquette SAMT'!$A$1:$S$158</definedName>
    <definedName name="_xlnm.Print_Area" localSheetId="1">'SAISIE DES DONNEES SAMT'!$A$1:$O$44</definedName>
    <definedName name="_xlnm.Print_Area" localSheetId="2">'SAISIE DES DONNEES SAMT (2)'!$A$1:$O$44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7" i="5" l="1"/>
  <c r="E218" i="6"/>
  <c r="E73" i="9"/>
  <c r="E77" i="9" s="1"/>
  <c r="E76" i="6"/>
  <c r="E77" i="6"/>
  <c r="E73" i="6"/>
  <c r="J104" i="5"/>
  <c r="F104" i="5"/>
  <c r="O104" i="5"/>
  <c r="E76" i="9" l="1"/>
  <c r="R11" i="5"/>
  <c r="F116" i="5"/>
  <c r="F115" i="5"/>
  <c r="J116" i="5"/>
  <c r="J117" i="5" s="1"/>
  <c r="J73" i="5"/>
  <c r="J72" i="5"/>
  <c r="J70" i="5"/>
  <c r="J69" i="5"/>
  <c r="J65" i="5"/>
  <c r="J59" i="5"/>
  <c r="J57" i="5"/>
  <c r="J51" i="5"/>
  <c r="J40" i="5"/>
  <c r="J39" i="5"/>
  <c r="J38" i="5"/>
  <c r="J37" i="5"/>
  <c r="J36" i="5"/>
  <c r="J35" i="5"/>
  <c r="J34" i="5"/>
  <c r="J33" i="5"/>
  <c r="J32" i="5"/>
  <c r="J31" i="5"/>
  <c r="J30" i="5"/>
  <c r="J29" i="5"/>
  <c r="J28" i="5"/>
  <c r="J27" i="5"/>
  <c r="J26" i="5"/>
  <c r="J25" i="5"/>
  <c r="J24" i="5"/>
  <c r="J23" i="5"/>
  <c r="J22" i="5"/>
  <c r="J21" i="5"/>
  <c r="J20" i="5"/>
  <c r="J16" i="5"/>
  <c r="J15" i="5"/>
  <c r="J14" i="5"/>
  <c r="J13" i="5"/>
  <c r="J11" i="5"/>
  <c r="F130" i="5"/>
  <c r="F129" i="5"/>
  <c r="F125" i="5"/>
  <c r="F124" i="5"/>
  <c r="F126" i="5" s="1"/>
  <c r="F121" i="5"/>
  <c r="F120" i="5"/>
  <c r="F111" i="5"/>
  <c r="F110" i="5"/>
  <c r="F107" i="5"/>
  <c r="F106" i="5"/>
  <c r="F74" i="5"/>
  <c r="F73" i="5"/>
  <c r="F72" i="5"/>
  <c r="F71" i="5"/>
  <c r="F70" i="5"/>
  <c r="F69" i="5"/>
  <c r="F68" i="5"/>
  <c r="F67" i="5"/>
  <c r="F66" i="5"/>
  <c r="F62" i="5"/>
  <c r="F65" i="5"/>
  <c r="F64" i="5"/>
  <c r="F63" i="5"/>
  <c r="F61" i="5"/>
  <c r="F60" i="5"/>
  <c r="F57" i="5"/>
  <c r="F56" i="5"/>
  <c r="F55" i="5"/>
  <c r="F54" i="5"/>
  <c r="F53" i="5"/>
  <c r="F52" i="5"/>
  <c r="F51" i="5"/>
  <c r="F50" i="5"/>
  <c r="F49" i="5"/>
  <c r="F48" i="5"/>
  <c r="F47" i="5"/>
  <c r="O9" i="5"/>
  <c r="J9" i="5"/>
  <c r="F44" i="5"/>
  <c r="F40" i="5"/>
  <c r="F36" i="5"/>
  <c r="F35" i="5"/>
  <c r="F34" i="5"/>
  <c r="F33" i="5"/>
  <c r="F32" i="5"/>
  <c r="F31" i="5"/>
  <c r="F30" i="5"/>
  <c r="F29" i="5"/>
  <c r="F28" i="5"/>
  <c r="F27" i="5"/>
  <c r="F26" i="5"/>
  <c r="F25" i="5"/>
  <c r="F24" i="5"/>
  <c r="F23" i="5"/>
  <c r="F22" i="5"/>
  <c r="F21" i="5"/>
  <c r="F11" i="5"/>
  <c r="F13" i="5"/>
  <c r="F14" i="5"/>
  <c r="F16" i="5"/>
  <c r="F108" i="5" l="1"/>
  <c r="O27" i="5"/>
  <c r="O70" i="5"/>
  <c r="O28" i="5"/>
  <c r="L24" i="5"/>
  <c r="M24" i="5" s="1"/>
  <c r="P26" i="5"/>
  <c r="P29" i="5"/>
  <c r="P72" i="5"/>
  <c r="L36" i="5"/>
  <c r="M36" i="5" s="1"/>
  <c r="L25" i="5"/>
  <c r="M25" i="5" s="1"/>
  <c r="L37" i="5"/>
  <c r="M37" i="5" s="1"/>
  <c r="L26" i="5"/>
  <c r="M26" i="5" s="1"/>
  <c r="H47" i="5"/>
  <c r="O73" i="5"/>
  <c r="P30" i="5"/>
  <c r="P117" i="5"/>
  <c r="O116" i="5"/>
  <c r="P21" i="5"/>
  <c r="O117" i="5"/>
  <c r="P33" i="5"/>
  <c r="O22" i="5"/>
  <c r="O34" i="5"/>
  <c r="P69" i="5"/>
  <c r="P116" i="5"/>
  <c r="P31" i="5"/>
  <c r="O23" i="5"/>
  <c r="P32" i="5"/>
  <c r="P23" i="5"/>
  <c r="O11" i="5"/>
  <c r="L30" i="5"/>
  <c r="M30" i="5" s="1"/>
  <c r="L32" i="5"/>
  <c r="M32" i="5" s="1"/>
  <c r="L29" i="5"/>
  <c r="M29" i="5" s="1"/>
  <c r="P65" i="5"/>
  <c r="O35" i="5"/>
  <c r="O36" i="5"/>
  <c r="L38" i="5"/>
  <c r="M38" i="5" s="1"/>
  <c r="L27" i="5"/>
  <c r="M27" i="5" s="1"/>
  <c r="L39" i="5"/>
  <c r="M39" i="5" s="1"/>
  <c r="P73" i="5"/>
  <c r="L31" i="5"/>
  <c r="M31" i="5" s="1"/>
  <c r="P35" i="5"/>
  <c r="L51" i="5"/>
  <c r="L21" i="5"/>
  <c r="M21" i="5" s="1"/>
  <c r="L33" i="5"/>
  <c r="M33" i="5" s="1"/>
  <c r="O32" i="5"/>
  <c r="P24" i="5"/>
  <c r="P36" i="5"/>
  <c r="O30" i="5"/>
  <c r="P25" i="5"/>
  <c r="O69" i="5"/>
  <c r="L23" i="5"/>
  <c r="M23" i="5" s="1"/>
  <c r="L35" i="5"/>
  <c r="M35" i="5" s="1"/>
  <c r="O24" i="5"/>
  <c r="L34" i="5"/>
  <c r="M34" i="5" s="1"/>
  <c r="O31" i="5"/>
  <c r="O25" i="5"/>
  <c r="L73" i="5"/>
  <c r="O26" i="5"/>
  <c r="L28" i="5"/>
  <c r="M28" i="5" s="1"/>
  <c r="L65" i="5"/>
  <c r="P34" i="5"/>
  <c r="P28" i="5"/>
  <c r="P22" i="5"/>
  <c r="O72" i="5"/>
  <c r="O29" i="5"/>
  <c r="P27" i="5"/>
  <c r="O65" i="5"/>
  <c r="O33" i="5"/>
  <c r="O21" i="5"/>
  <c r="L69" i="5"/>
  <c r="P70" i="5"/>
  <c r="O40" i="5"/>
  <c r="L57" i="5"/>
  <c r="L70" i="5"/>
  <c r="L22" i="5"/>
  <c r="M22" i="5" s="1"/>
  <c r="L72" i="5"/>
  <c r="L40" i="5"/>
  <c r="M40" i="5" s="1"/>
  <c r="P40" i="5"/>
  <c r="H57" i="5"/>
  <c r="F131" i="5"/>
  <c r="H51" i="5"/>
  <c r="H49" i="5"/>
  <c r="H53" i="5"/>
  <c r="H55" i="5"/>
  <c r="H52" i="5"/>
  <c r="H70" i="5"/>
  <c r="H71" i="5"/>
  <c r="H50" i="5"/>
  <c r="H48" i="5"/>
  <c r="H60" i="5"/>
  <c r="H72" i="5"/>
  <c r="H66" i="5"/>
  <c r="H68" i="5"/>
  <c r="H61" i="5"/>
  <c r="H73" i="5"/>
  <c r="H67" i="5"/>
  <c r="H56" i="5"/>
  <c r="H63" i="5"/>
  <c r="H74" i="5"/>
  <c r="H69" i="5"/>
  <c r="H30" i="5"/>
  <c r="I30" i="5" s="1"/>
  <c r="H64" i="5"/>
  <c r="H54" i="5"/>
  <c r="H65" i="5"/>
  <c r="H62" i="5"/>
  <c r="H32" i="5"/>
  <c r="I32" i="5" s="1"/>
  <c r="H35" i="5"/>
  <c r="I35" i="5" s="1"/>
  <c r="H33" i="5"/>
  <c r="I33" i="5" s="1"/>
  <c r="H36" i="5"/>
  <c r="I36" i="5" s="1"/>
  <c r="H34" i="5"/>
  <c r="I34" i="5" s="1"/>
  <c r="H27" i="5"/>
  <c r="I27" i="5" s="1"/>
  <c r="H28" i="5"/>
  <c r="I28" i="5" s="1"/>
  <c r="H29" i="5"/>
  <c r="I29" i="5" s="1"/>
  <c r="H31" i="5"/>
  <c r="I31" i="5" s="1"/>
  <c r="F59" i="5" l="1"/>
  <c r="J44" i="5"/>
  <c r="F15" i="5"/>
  <c r="F9" i="5"/>
  <c r="O51" i="5" l="1"/>
  <c r="L20" i="5"/>
  <c r="M20" i="5" s="1"/>
  <c r="P11" i="5"/>
  <c r="P57" i="5"/>
  <c r="O15" i="5"/>
  <c r="O16" i="5"/>
  <c r="L59" i="5"/>
  <c r="O57" i="5"/>
  <c r="O14" i="5"/>
  <c r="O59" i="5"/>
  <c r="J42" i="5"/>
  <c r="L42" i="5" s="1"/>
  <c r="P59" i="5"/>
  <c r="P51" i="5"/>
  <c r="J43" i="5" l="1"/>
  <c r="L43" i="5" s="1"/>
  <c r="C14" i="5"/>
  <c r="P44" i="5"/>
  <c r="F37" i="5"/>
  <c r="F39" i="5"/>
  <c r="F38" i="5"/>
  <c r="F20" i="5"/>
  <c r="C42" i="5"/>
  <c r="B17" i="5" s="1"/>
  <c r="F42" i="5" l="1"/>
  <c r="H42" i="5" s="1"/>
  <c r="P39" i="5"/>
  <c r="O39" i="5"/>
  <c r="O38" i="5"/>
  <c r="P38" i="5"/>
  <c r="P37" i="5"/>
  <c r="O37" i="5"/>
  <c r="H25" i="5"/>
  <c r="I25" i="5" s="1"/>
  <c r="H21" i="5"/>
  <c r="I21" i="5" s="1"/>
  <c r="F122" i="5"/>
  <c r="H59" i="5"/>
  <c r="H40" i="5"/>
  <c r="I40" i="5" s="1"/>
  <c r="O13" i="5"/>
  <c r="H39" i="5"/>
  <c r="I39" i="5" s="1"/>
  <c r="H38" i="5"/>
  <c r="I38" i="5" s="1"/>
  <c r="H24" i="5"/>
  <c r="I24" i="5" s="1"/>
  <c r="H22" i="5"/>
  <c r="I22" i="5" s="1"/>
  <c r="H20" i="5"/>
  <c r="I20" i="5" s="1"/>
  <c r="H23" i="5"/>
  <c r="I23" i="5" s="1"/>
  <c r="P13" i="5"/>
  <c r="H37" i="5"/>
  <c r="I37" i="5" s="1"/>
  <c r="H26" i="5"/>
  <c r="I26" i="5" s="1"/>
  <c r="P20" i="5"/>
  <c r="O44" i="5"/>
  <c r="F112" i="5"/>
  <c r="O20" i="5"/>
  <c r="O42" i="5" l="1"/>
  <c r="P42" i="5"/>
  <c r="F43" i="5"/>
  <c r="H43" i="5" l="1"/>
  <c r="P43" i="5"/>
  <c r="O43" i="5"/>
  <c r="B13" i="5"/>
  <c r="J125" i="5"/>
  <c r="O125" i="5" s="1"/>
  <c r="J48" i="5"/>
  <c r="L48" i="5" s="1"/>
  <c r="J130" i="5"/>
  <c r="O130" i="5" s="1"/>
  <c r="J74" i="5"/>
  <c r="L74" i="5" s="1"/>
  <c r="J52" i="5"/>
  <c r="L52" i="5" s="1"/>
  <c r="J49" i="5"/>
  <c r="L49" i="5" s="1"/>
  <c r="J55" i="5"/>
  <c r="O55" i="5" s="1"/>
  <c r="J60" i="5"/>
  <c r="P60" i="5" s="1"/>
  <c r="J61" i="5"/>
  <c r="L61" i="5" s="1"/>
  <c r="J56" i="5"/>
  <c r="O56" i="5" s="1"/>
  <c r="J62" i="5"/>
  <c r="L62" i="5" s="1"/>
  <c r="J66" i="5"/>
  <c r="O66" i="5" s="1"/>
  <c r="J106" i="5"/>
  <c r="O106" i="5" s="1"/>
  <c r="J71" i="5"/>
  <c r="L71" i="5" s="1"/>
  <c r="J64" i="5"/>
  <c r="P64" i="5" s="1"/>
  <c r="J129" i="5"/>
  <c r="P129" i="5" s="1"/>
  <c r="J107" i="5"/>
  <c r="O107" i="5" s="1"/>
  <c r="J68" i="5"/>
  <c r="L68" i="5" s="1"/>
  <c r="J111" i="5"/>
  <c r="P111" i="5" s="1"/>
  <c r="J120" i="5"/>
  <c r="J122" i="5" s="1"/>
  <c r="J54" i="5"/>
  <c r="P54" i="5" s="1"/>
  <c r="J110" i="5"/>
  <c r="O110" i="5" s="1"/>
  <c r="J115" i="5"/>
  <c r="P115" i="5" s="1"/>
  <c r="J50" i="5"/>
  <c r="L50" i="5" s="1"/>
  <c r="J63" i="5"/>
  <c r="P63" i="5" s="1"/>
  <c r="J53" i="5"/>
  <c r="L53" i="5" s="1"/>
  <c r="J121" i="5"/>
  <c r="O121" i="5" s="1"/>
  <c r="J67" i="5"/>
  <c r="L67" i="5" s="1"/>
  <c r="J124" i="5"/>
  <c r="J126" i="5" s="1"/>
  <c r="J47" i="5"/>
  <c r="L47" i="5" s="1"/>
  <c r="O129" i="5" l="1"/>
  <c r="P110" i="5"/>
  <c r="O49" i="5"/>
  <c r="O52" i="5"/>
  <c r="P53" i="5"/>
  <c r="O61" i="5"/>
  <c r="L56" i="5"/>
  <c r="P107" i="5"/>
  <c r="P56" i="5"/>
  <c r="J131" i="5"/>
  <c r="P130" i="5"/>
  <c r="P121" i="5"/>
  <c r="J112" i="5"/>
  <c r="O112" i="5" s="1"/>
  <c r="P49" i="5"/>
  <c r="P126" i="5"/>
  <c r="O126" i="5"/>
  <c r="O122" i="5"/>
  <c r="P122" i="5"/>
  <c r="L64" i="5"/>
  <c r="O124" i="5"/>
  <c r="O60" i="5"/>
  <c r="P48" i="5"/>
  <c r="P66" i="5"/>
  <c r="L60" i="5"/>
  <c r="L63" i="5"/>
  <c r="L54" i="5"/>
  <c r="P68" i="5"/>
  <c r="O64" i="5"/>
  <c r="O48" i="5"/>
  <c r="J108" i="5"/>
  <c r="P52" i="5"/>
  <c r="L66" i="5"/>
  <c r="P67" i="5"/>
  <c r="O50" i="5"/>
  <c r="O54" i="5"/>
  <c r="O68" i="5"/>
  <c r="O71" i="5"/>
  <c r="P61" i="5"/>
  <c r="P125" i="5"/>
  <c r="O62" i="5"/>
  <c r="L55" i="5"/>
  <c r="O120" i="5"/>
  <c r="P50" i="5"/>
  <c r="P120" i="5"/>
  <c r="O63" i="5"/>
  <c r="P71" i="5"/>
  <c r="P62" i="5"/>
  <c r="P55" i="5"/>
  <c r="O67" i="5"/>
  <c r="P47" i="5"/>
  <c r="O47" i="5"/>
  <c r="O53" i="5"/>
  <c r="O115" i="5"/>
  <c r="P106" i="5"/>
  <c r="O111" i="5"/>
  <c r="P124" i="5"/>
  <c r="P112" i="5" l="1"/>
  <c r="O131" i="5"/>
  <c r="P131" i="5"/>
  <c r="P108" i="5"/>
  <c r="O108" i="5"/>
</calcChain>
</file>

<file path=xl/sharedStrings.xml><?xml version="1.0" encoding="utf-8"?>
<sst xmlns="http://schemas.openxmlformats.org/spreadsheetml/2006/main" count="1634" uniqueCount="303">
  <si>
    <t>1) Pourquoi utiliser ce contenu ?</t>
  </si>
  <si>
    <t>2) Les objectifs de ce contenu</t>
  </si>
  <si>
    <t>3) Les données</t>
  </si>
  <si>
    <t>4) Les étapes</t>
  </si>
  <si>
    <t>5) Les points de vigilance</t>
  </si>
  <si>
    <t>6) Annexes : pour aller plus loin</t>
  </si>
  <si>
    <t>7) Autre contenu du guide qui peut vous intéresser</t>
  </si>
  <si>
    <t>Index, mots-clés et repères</t>
  </si>
  <si>
    <t>MCO</t>
  </si>
  <si>
    <t>SSR</t>
  </si>
  <si>
    <t>Psychiatrie</t>
  </si>
  <si>
    <t>HAD</t>
  </si>
  <si>
    <t>p</t>
  </si>
  <si>
    <t>0,5 j</t>
  </si>
  <si>
    <t>1 j</t>
  </si>
  <si>
    <t>&gt; 1 j</t>
  </si>
  <si>
    <t xml:space="preserve">1h </t>
  </si>
  <si>
    <t>Débutant</t>
  </si>
  <si>
    <t>Confirmé</t>
  </si>
  <si>
    <t xml:space="preserve">Mots-clés : </t>
  </si>
  <si>
    <t>Ce contenu est utilisable en :</t>
  </si>
  <si>
    <t>Temps estimé de mise en pratique :</t>
  </si>
  <si>
    <t>Convient au niveau :</t>
  </si>
  <si>
    <t>Directeur général</t>
  </si>
  <si>
    <t>Destinataires des données :</t>
  </si>
  <si>
    <t>Autres directeurs</t>
  </si>
  <si>
    <t>Pôles / Services</t>
  </si>
  <si>
    <t>GHT / groupe</t>
  </si>
  <si>
    <t>Retour Fiche</t>
  </si>
  <si>
    <t>Sources de données</t>
  </si>
  <si>
    <t>Charges de Personnel Médical</t>
  </si>
  <si>
    <t>- Charges de personnel médical extérieur</t>
  </si>
  <si>
    <t>- Charges de personnel interne et étudiants salariés</t>
  </si>
  <si>
    <t>Charges de Personnel Non Médical</t>
  </si>
  <si>
    <t>- Charges de personnel autre extérieur</t>
  </si>
  <si>
    <t>- Charges de personnel autre salarié</t>
  </si>
  <si>
    <t>- Charges de personnel soignant extérieur</t>
  </si>
  <si>
    <t>- Charges de personnel soignant salarié</t>
  </si>
  <si>
    <t>Titre 2 : Charges à caractère médical</t>
  </si>
  <si>
    <t>Titre 4 : Charges d'amortissement, de provisions et dépréciations, financières et exceptionnelles</t>
  </si>
  <si>
    <t>Total des produits déductibles</t>
  </si>
  <si>
    <t>Total charges nettes (T1 + T2 + T3 + T4 - produits déductibles)</t>
  </si>
  <si>
    <t>Montant affecté aux act. subs. et RCRA</t>
  </si>
  <si>
    <t>Charges PM_REMU nettées des comptes 6...9</t>
  </si>
  <si>
    <t>ETPR Personnel Médical (hors internes et étudiants)</t>
  </si>
  <si>
    <t>Charges PI_REMU nettées des comptes 6...9</t>
  </si>
  <si>
    <t>ETPR Personnel interne et étudiant salarié</t>
  </si>
  <si>
    <t>Coût moyen du Personnel interne et étudiant salarié</t>
  </si>
  <si>
    <t>Charges PS_REMU nettées des comptes 6...9</t>
  </si>
  <si>
    <t>ETPR Personnel Soignant</t>
  </si>
  <si>
    <t>Coût moyen du Personnel Soignant</t>
  </si>
  <si>
    <t>Charges PA_REMU nettées des comptes 6...9</t>
  </si>
  <si>
    <t>ETPR Personnel Autre</t>
  </si>
  <si>
    <t>Coût moyen du Personnel autre salarié</t>
  </si>
  <si>
    <t>Charges PNM_REMU nettées des comptes 6...9</t>
  </si>
  <si>
    <t>ETPR Personnel Non Médical</t>
  </si>
  <si>
    <t>Coût moyen du Personnel Non Médical salarié</t>
  </si>
  <si>
    <t>En %</t>
  </si>
  <si>
    <t>En valeur</t>
  </si>
  <si>
    <t>Coût de l'UO</t>
  </si>
  <si>
    <t>Nb d'UO (Cf. règles de comptage)</t>
  </si>
  <si>
    <t>Nature de l'UO :</t>
  </si>
  <si>
    <t>Mode de fonctionnement :</t>
  </si>
  <si>
    <t>Total</t>
  </si>
  <si>
    <t>par UO</t>
  </si>
  <si>
    <t>Titre 2 : Charges à caractére médical</t>
  </si>
  <si>
    <t>Titre 3 : Charges à caractére hôtelier et général</t>
  </si>
  <si>
    <t>Titre 4 : Charges à caractére financier</t>
  </si>
  <si>
    <t>Total produits déductibles</t>
  </si>
  <si>
    <t>Total des charges brutes</t>
  </si>
  <si>
    <t>Total des charges nettes</t>
  </si>
  <si>
    <t>Ratios et indicateurs de productivité RH</t>
  </si>
  <si>
    <t>PM</t>
  </si>
  <si>
    <t>Nb d'ETP PM (hors int. + étud)</t>
  </si>
  <si>
    <t>Coût moyen du Personnel Médical (hors 6721 PM)</t>
  </si>
  <si>
    <t>Nb d'UO produites / ETP PM (hors internes et étudiants)</t>
  </si>
  <si>
    <t>Int-Etud</t>
  </si>
  <si>
    <t>Nb d'ETP Internes et étudiants</t>
  </si>
  <si>
    <t>Coût moyen du Personnel Internes et étudiants (hors 6721 PM)</t>
  </si>
  <si>
    <t>Nb d'UO produites / ETP Internes et étudiants</t>
  </si>
  <si>
    <t>PNM</t>
  </si>
  <si>
    <t>Nb ETP PNM</t>
  </si>
  <si>
    <t>Coût moyen du Personnel non Médical (hors 6721 PNM)</t>
  </si>
  <si>
    <t>Analyses et/ou Commentaires</t>
  </si>
  <si>
    <t>- les évolutions de ces indicateurs par rapport à l'année N-1</t>
  </si>
  <si>
    <t>- le coût moyen PM et PNM du référentiel RTC de l'année N-1 de la catégorie de l'établissement et l'écart en % par rapport à ce dernier</t>
  </si>
  <si>
    <t>- le coût d'unité d'œuvre du référentiel RTC de l'année N-1 de la catégorie de l'établissement et l'écart en % par rapport à ce dernier</t>
  </si>
  <si>
    <t>- la structure de coût</t>
  </si>
  <si>
    <t>Mode de prise en charge :</t>
  </si>
  <si>
    <t>SA Auxiliaire Médico-technique (SAMT)</t>
  </si>
  <si>
    <t>LM - Stérilisation</t>
  </si>
  <si>
    <t>LM - Génie biomédical</t>
  </si>
  <si>
    <t>LM - Hygiène hospitalière et vigilances</t>
  </si>
  <si>
    <t>Montant total imputé au titre des charges des SA LM via les clés de répartition</t>
  </si>
  <si>
    <t>SAMT…</t>
  </si>
  <si>
    <t>þ</t>
  </si>
  <si>
    <t>- les ETPR, les modes de fonctionnement et les modes de prise en charge</t>
  </si>
  <si>
    <t>- les charges utilisées pour le calcul du coût de l'unité d'œuvre, le nombre d'unité d'œuvre, le coût de l'unité d'œuvre, le mode de fonctionnement et le mode de prise en charge</t>
  </si>
  <si>
    <t>Mode de prise en charge : Dédié à la prise en charge des patients hospitalisés en ambulatoire, Non dédié à l'ambulatoire, Non concerné</t>
  </si>
  <si>
    <r>
      <t xml:space="preserve">Dans la perspective d'une </t>
    </r>
    <r>
      <rPr>
        <b/>
        <sz val="9"/>
        <rFont val="Verdana"/>
        <family val="2"/>
      </rPr>
      <t>co-utilisation de plateaux techniques</t>
    </r>
    <r>
      <rPr>
        <sz val="9"/>
        <rFont val="Verdana"/>
        <family val="2"/>
      </rPr>
      <t xml:space="preserve">, la SAMT doit être typée </t>
    </r>
    <r>
      <rPr>
        <b/>
        <sz val="9"/>
        <rFont val="Verdana"/>
        <family val="2"/>
      </rPr>
      <t>"Groupement"</t>
    </r>
    <r>
      <rPr>
        <sz val="9"/>
        <rFont val="Verdana"/>
        <family val="2"/>
      </rPr>
      <t>.</t>
    </r>
  </si>
  <si>
    <t>Exemples : Co-utilisations de Scanner et/ou d'IRM</t>
  </si>
  <si>
    <r>
      <t xml:space="preserve">- ATIH - </t>
    </r>
    <r>
      <rPr>
        <u/>
        <sz val="9"/>
        <color theme="1"/>
        <rFont val="Verdana"/>
        <family val="2"/>
      </rPr>
      <t>Outil VALID RTC</t>
    </r>
    <r>
      <rPr>
        <sz val="9"/>
        <color theme="1"/>
        <rFont val="Verdana"/>
        <family val="2"/>
      </rPr>
      <t xml:space="preserve"> : </t>
    </r>
    <r>
      <rPr>
        <b/>
        <sz val="9"/>
        <color theme="1"/>
        <rFont val="Verdana"/>
        <family val="2"/>
      </rPr>
      <t>guide de lecture des tableaux de contrôle</t>
    </r>
    <r>
      <rPr>
        <sz val="9"/>
        <color theme="1"/>
        <rFont val="Verdana"/>
        <family val="2"/>
      </rPr>
      <t>.</t>
    </r>
  </si>
  <si>
    <r>
      <t xml:space="preserve">- ATIH - </t>
    </r>
    <r>
      <rPr>
        <b/>
        <sz val="9"/>
        <color theme="1"/>
        <rFont val="Verdana"/>
        <family val="2"/>
      </rPr>
      <t>Guide de recueil des UO et des clés.</t>
    </r>
  </si>
  <si>
    <r>
      <t xml:space="preserve">- ATIH - </t>
    </r>
    <r>
      <rPr>
        <b/>
        <u/>
        <sz val="9"/>
        <color theme="1"/>
        <rFont val="Verdana"/>
        <family val="2"/>
      </rPr>
      <t>Fiches pédagogiques</t>
    </r>
    <r>
      <rPr>
        <sz val="9"/>
        <color theme="1"/>
        <rFont val="Verdana"/>
        <family val="2"/>
      </rPr>
      <t xml:space="preserve"> : 
   . Fiche 2018-05 : Typage des sections de LGG, SAMT, LM, STR et plateaux PSY dans Arcanh RTC
   . Fiche 2018-03 : Traitement des groupements
   . Fiche 2019-06 : UO Sté</t>
    </r>
  </si>
  <si>
    <t>Total SAMT</t>
  </si>
  <si>
    <t>Mode de fonctionnement : Interne, Sous Traité, Groupement</t>
  </si>
  <si>
    <r>
      <rPr>
        <b/>
        <u/>
        <sz val="9"/>
        <color theme="1"/>
        <rFont val="Verdana"/>
        <family val="2"/>
      </rPr>
      <t>Informations sur le typage des plateaux médico-techniques</t>
    </r>
    <r>
      <rPr>
        <sz val="9"/>
        <color theme="1"/>
        <rFont val="Verdana"/>
        <family val="2"/>
      </rPr>
      <t xml:space="preserve"> :</t>
    </r>
  </si>
  <si>
    <t>CH du Capitole</t>
  </si>
  <si>
    <r>
      <rPr>
        <sz val="9"/>
        <color theme="1"/>
        <rFont val="Verdana"/>
        <family val="2"/>
      </rPr>
      <t xml:space="preserve">- Le cas échéant, </t>
    </r>
    <r>
      <rPr>
        <b/>
        <sz val="9"/>
        <color theme="1"/>
        <rFont val="Verdana"/>
        <family val="2"/>
      </rPr>
      <t>mettre en œuvre et automatiser si possible le recueil des UO</t>
    </r>
    <r>
      <rPr>
        <sz val="9"/>
        <color theme="1"/>
        <rFont val="Verdana"/>
        <family val="2"/>
      </rPr>
      <t xml:space="preserve"> telles que décrites dans le guide avec les responsables métiers concernés.</t>
    </r>
  </si>
  <si>
    <r>
      <rPr>
        <b/>
        <sz val="9"/>
        <color theme="1"/>
        <rFont val="Verdana"/>
        <family val="2"/>
      </rPr>
      <t>- Fiabiliser</t>
    </r>
    <r>
      <rPr>
        <sz val="9"/>
        <color theme="1"/>
        <rFont val="Verdana"/>
        <family val="2"/>
      </rPr>
      <t xml:space="preserve"> ce recueil et </t>
    </r>
    <r>
      <rPr>
        <b/>
        <sz val="9"/>
        <color theme="1"/>
        <rFont val="Verdana"/>
        <family val="2"/>
      </rPr>
      <t>son exhaustivité</t>
    </r>
    <r>
      <rPr>
        <sz val="9"/>
        <color theme="1"/>
        <rFont val="Verdana"/>
        <family val="2"/>
      </rPr>
      <t xml:space="preserve"> en fonction des analyses faites chaque année sur les unités d'œuvre</t>
    </r>
  </si>
  <si>
    <r>
      <rPr>
        <b/>
        <sz val="9"/>
        <color theme="1"/>
        <rFont val="Verdana"/>
        <family val="2"/>
      </rPr>
      <t>- Comprendre la différence entre une unité d'œuvre et une clé de répartition</t>
    </r>
    <r>
      <rPr>
        <sz val="9"/>
        <color theme="1"/>
        <rFont val="Verdana"/>
        <family val="2"/>
      </rPr>
      <t xml:space="preserve"> sera </t>
    </r>
    <r>
      <rPr>
        <b/>
        <sz val="9"/>
        <color theme="1"/>
        <rFont val="Verdana"/>
        <family val="2"/>
      </rPr>
      <t>utile pour l'interprétation de vos données</t>
    </r>
    <r>
      <rPr>
        <sz val="9"/>
        <color theme="1"/>
        <rFont val="Verdana"/>
        <family val="2"/>
      </rPr>
      <t>, mais aussi pour le choix d'une UO et/ou d'une clé de répartition si vous ne disposez pas de celles préconisées.</t>
    </r>
  </si>
  <si>
    <r>
      <t>- L'</t>
    </r>
    <r>
      <rPr>
        <b/>
        <sz val="9"/>
        <rFont val="Verdana"/>
        <family val="2"/>
      </rPr>
      <t>interprétation des données par rapport à l'année précédente</t>
    </r>
    <r>
      <rPr>
        <sz val="9"/>
        <rFont val="Verdana"/>
        <family val="2"/>
      </rPr>
      <t xml:space="preserve"> fera l'objet d'une </t>
    </r>
    <r>
      <rPr>
        <b/>
        <sz val="9"/>
        <rFont val="Verdana"/>
        <family val="2"/>
      </rPr>
      <t>attention particulière dans l'hypothèse d'un changement de mode de fonctionnement et/ou d'un changement de clé d'UO.</t>
    </r>
  </si>
  <si>
    <r>
      <t xml:space="preserve">Les activités de </t>
    </r>
    <r>
      <rPr>
        <b/>
        <sz val="9"/>
        <color theme="1"/>
        <rFont val="Verdana"/>
        <family val="2"/>
      </rPr>
      <t>Dialyse</t>
    </r>
    <r>
      <rPr>
        <sz val="9"/>
        <color theme="1"/>
        <rFont val="Verdana"/>
        <family val="2"/>
      </rPr>
      <t xml:space="preserve">, </t>
    </r>
    <r>
      <rPr>
        <b/>
        <sz val="9"/>
        <color theme="1"/>
        <rFont val="Verdana"/>
        <family val="2"/>
      </rPr>
      <t>Radiothérapie</t>
    </r>
    <r>
      <rPr>
        <sz val="9"/>
        <color theme="1"/>
        <rFont val="Verdana"/>
        <family val="2"/>
      </rPr>
      <t xml:space="preserve"> et </t>
    </r>
    <r>
      <rPr>
        <b/>
        <sz val="9"/>
        <color theme="1"/>
        <rFont val="Verdana"/>
        <family val="2"/>
      </rPr>
      <t>Urgences</t>
    </r>
    <r>
      <rPr>
        <sz val="9"/>
        <color theme="1"/>
        <rFont val="Verdana"/>
        <family val="2"/>
      </rPr>
      <t xml:space="preserve">, classées en SAMT dans l’arbre analytique, sont définies comme fonction définitive dans le RTC.
</t>
    </r>
    <r>
      <rPr>
        <b/>
        <sz val="9"/>
        <color theme="1"/>
        <rFont val="Verdana"/>
        <family val="2"/>
      </rPr>
      <t>Ces dernières seront traitées dans les fiches dédiées aux SAC.</t>
    </r>
  </si>
  <si>
    <r>
      <rPr>
        <b/>
        <sz val="9"/>
        <color theme="1"/>
        <rFont val="Verdana"/>
        <family val="2"/>
      </rPr>
      <t>Selon le principe que la grille de saisie et la maquette restent modifiables au gré des recherches et des besoins des utilisateurs</t>
    </r>
    <r>
      <rPr>
        <sz val="9"/>
        <color theme="1"/>
        <rFont val="Verdana"/>
        <family val="2"/>
      </rPr>
      <t xml:space="preserve">, </t>
    </r>
    <r>
      <rPr>
        <b/>
        <sz val="9"/>
        <color theme="1"/>
        <rFont val="Verdana"/>
        <family val="2"/>
      </rPr>
      <t>la colonne B de la grille de saisie indique la référence de la ligne à rechercher</t>
    </r>
    <r>
      <rPr>
        <sz val="9"/>
        <color theme="1"/>
        <rFont val="Verdana"/>
        <family val="2"/>
      </rPr>
      <t xml:space="preserve"> pour la colonne étudiée (</t>
    </r>
    <r>
      <rPr>
        <b/>
        <sz val="9"/>
        <color theme="1"/>
        <rFont val="Verdana"/>
        <family val="2"/>
      </rPr>
      <t>no_index_col</t>
    </r>
    <r>
      <rPr>
        <sz val="9"/>
        <color theme="1"/>
        <rFont val="Verdana"/>
        <family val="2"/>
      </rPr>
      <t xml:space="preserve">).
La fonction principalement utilisée dans la maquette est </t>
    </r>
    <r>
      <rPr>
        <b/>
        <sz val="9"/>
        <color theme="1"/>
        <rFont val="Verdana"/>
        <family val="2"/>
      </rPr>
      <t xml:space="preserve">RECHERCHEH(valeur_cherchée, table_matrice, no_index_col, [valeur_proche]).
</t>
    </r>
    <r>
      <rPr>
        <sz val="9"/>
        <color theme="1"/>
        <rFont val="Verdana"/>
        <family val="2"/>
      </rPr>
      <t>Ce point de repère est destiné à modifier plus facilement la grille de saisie et/ou la maquette.</t>
    </r>
  </si>
  <si>
    <t>- ATIH - Arbre analytique ENC/RTC en vigueur</t>
  </si>
  <si>
    <t>Plan d'actions</t>
  </si>
  <si>
    <t>VALID RTC ; plateaux techniques ; UO ; Clé de répartition ; ETPR ; Coût moyen d'une UO ; Référentiel</t>
  </si>
  <si>
    <r>
      <t>Pour</t>
    </r>
    <r>
      <rPr>
        <b/>
        <sz val="9"/>
        <color theme="1"/>
        <rFont val="Verdana"/>
        <family val="2"/>
      </rPr>
      <t xml:space="preserve"> chaque section d'analyse médico-technique</t>
    </r>
    <r>
      <rPr>
        <sz val="9"/>
        <color theme="1"/>
        <rFont val="Verdana"/>
        <family val="2"/>
      </rPr>
      <t>, un focus est effectué sur :</t>
    </r>
  </si>
  <si>
    <t>1ère étape : le recueil des données</t>
  </si>
  <si>
    <r>
      <rPr>
        <b/>
        <sz val="9"/>
        <color rgb="FFFF0000"/>
        <rFont val="Verdana"/>
        <family val="2"/>
      </rPr>
      <t>Si l'établissement n'a pas utilisé la clé du guide</t>
    </r>
    <r>
      <rPr>
        <sz val="9"/>
        <color rgb="FFFF0000"/>
        <rFont val="Verdana"/>
        <family val="2"/>
      </rPr>
      <t xml:space="preserve">, </t>
    </r>
    <r>
      <rPr>
        <b/>
        <u/>
        <sz val="9"/>
        <color rgb="FFFF0000"/>
        <rFont val="Verdana"/>
        <family val="2"/>
      </rPr>
      <t>la comparaison avec le référentiel ne sera plus possible pour l'activité concernée</t>
    </r>
    <r>
      <rPr>
        <sz val="9"/>
        <color rgb="FFFF0000"/>
        <rFont val="Verdana"/>
        <family val="2"/>
      </rPr>
      <t>.</t>
    </r>
  </si>
  <si>
    <t>Analyse des coûts unitaire de l'UO décomposés par postes de dépenses</t>
  </si>
  <si>
    <t>- Lien vers ScanSanté pour des comparaisons "ciblées"</t>
  </si>
  <si>
    <t xml:space="preserve">- Hospidiag </t>
  </si>
  <si>
    <t>VALID RTC : Les principaux indicateurs 
des plateaux médico-techniques (SAMT)</t>
  </si>
  <si>
    <t>x</t>
  </si>
  <si>
    <t>- ATIH - Fiches de restitution individuelle avec la consommation des SAMT par section en téléchargement sur la plateforme e-RTC</t>
  </si>
  <si>
    <r>
      <t xml:space="preserve">Les maquettes proposées sont personnalisables et peuvent </t>
    </r>
    <r>
      <rPr>
        <b/>
        <sz val="9"/>
        <color theme="1"/>
        <rFont val="Verdana"/>
        <family val="2"/>
      </rPr>
      <t>intégrer des données plus détaillées du référentiel en utilisant la fiche de restitution individuelle ou Scansanté</t>
    </r>
    <r>
      <rPr>
        <sz val="9"/>
        <color theme="1"/>
        <rFont val="Verdana"/>
        <family val="2"/>
      </rPr>
      <t xml:space="preserve">.
</t>
    </r>
    <r>
      <rPr>
        <b/>
        <sz val="9"/>
        <color theme="1"/>
        <rFont val="Verdana"/>
        <family val="2"/>
      </rPr>
      <t>Un exemple est proposé sur la maquette de la fiche RTC_06 du guide.</t>
    </r>
    <r>
      <rPr>
        <sz val="9"/>
        <color theme="1"/>
        <rFont val="Verdana"/>
        <family val="2"/>
      </rPr>
      <t xml:space="preserve">
De la même manière, l'approche effets prix/volume pourrait être mise en évidence dans la maquette.</t>
    </r>
  </si>
  <si>
    <t>- Fiche RTC_06 - VALID RTC : Les principaux indicateurs de logistique et gestion générale (LGG) et leurs dimensions internalisations / sous traitance</t>
  </si>
  <si>
    <t>- Fiche RTC_09 - VALID RTC : Utiliser les coûts des section d'analyse clinique (SAC)</t>
  </si>
  <si>
    <t>- Fiche RTC_11 - VALID RTC : Analyser les écarts avec la méthode effets prix – effets volumes</t>
  </si>
  <si>
    <t>- Charges de personnel médical salarié (hors internes et étudiants)</t>
  </si>
  <si>
    <t>- Permanence des soins du personnel médical y compris charges sociales</t>
  </si>
  <si>
    <t>Charges de Personnel Sages-femmes</t>
  </si>
  <si>
    <t>- Charges de personnel Sages-femmes extérieur</t>
  </si>
  <si>
    <t>- Charges de personnel Sages-femmes salarié (hors internes et étudiants)</t>
  </si>
  <si>
    <t>Autres dépenses</t>
  </si>
  <si>
    <t>- Autres charges sociales de médecine du travail et pharmacie pour PNM</t>
  </si>
  <si>
    <t>- dont Titre 4 - Charges sur exercice antérieur de personnel PM</t>
  </si>
  <si>
    <t>- dont Titre 4 - Charges sur exercice antérieur de personnel SF</t>
  </si>
  <si>
    <t>- dont Titre 4 - Charges sur exercice antérieur de personnel PS</t>
  </si>
  <si>
    <t>- dont Titre 4 - Charges sur exercice antérieur de personnel PA</t>
  </si>
  <si>
    <t>Total des produits déductibles classés en compte 7</t>
  </si>
  <si>
    <t>RRR (Comptes 609, 619, 629)</t>
  </si>
  <si>
    <t>PM_REMB + 6491PM</t>
  </si>
  <si>
    <t>PI_REMB + 6491PI</t>
  </si>
  <si>
    <t>SF_REMB + 6491SF</t>
  </si>
  <si>
    <t>PS_REMB + 6491PS</t>
  </si>
  <si>
    <t>PA_REMB + 6491PA</t>
  </si>
  <si>
    <t>Total charges nettes des SA auxiliaires déduites des consommations des act. subs. et RCRA</t>
  </si>
  <si>
    <t>LM - Pharmacie - hors 936.12, 936.13, 936.14 et rétrocession</t>
  </si>
  <si>
    <t>Charges SF_REMU nettées des comptes 6...9</t>
  </si>
  <si>
    <t>Coût moyen du Personnel Sages-femmes salarié 
 (hors interne et étudiant)</t>
  </si>
  <si>
    <t>Titre 1 : Charges de personnel</t>
  </si>
  <si>
    <t>B</t>
  </si>
  <si>
    <t>.</t>
  </si>
  <si>
    <t>Titre 1 : Total charges de personnel</t>
  </si>
  <si>
    <t>Titre 3 : Charges à caractère hôtelier et général hors comptes 6 en CR3P</t>
  </si>
  <si>
    <t>Total des charges brutes (T1 + T2 + T3 + T4)</t>
  </si>
  <si>
    <t>A</t>
  </si>
  <si>
    <t>C</t>
  </si>
  <si>
    <t>93611</t>
  </si>
  <si>
    <t>9362</t>
  </si>
  <si>
    <t>9364</t>
  </si>
  <si>
    <t>9365</t>
  </si>
  <si>
    <t/>
  </si>
  <si>
    <t>Alerte sur le coût d'UO</t>
  </si>
  <si>
    <t>Coût moyen du Personnel Médical salarié 
 (hors interne et étudiant)</t>
  </si>
  <si>
    <t>Nature de l'UO</t>
  </si>
  <si>
    <t>ICR</t>
  </si>
  <si>
    <t>L</t>
  </si>
  <si>
    <t>Nombre d'UO</t>
  </si>
  <si>
    <t>B/L</t>
  </si>
  <si>
    <t>Coût d'UO net</t>
  </si>
  <si>
    <t>R=A/L ou O/L</t>
  </si>
  <si>
    <t>Mode de prise en charge (SAC MCO et SAMT)</t>
  </si>
  <si>
    <t>Interne ou sous-traité</t>
  </si>
  <si>
    <t>Non dédié</t>
  </si>
  <si>
    <t>Postes de charges bruts issus de l'onglet 3-SA 
 (tous titres confondus)</t>
  </si>
  <si>
    <t>PARTICIP</t>
  </si>
  <si>
    <t>Participation des salariés</t>
  </si>
  <si>
    <t>AUTRESDEP_T1</t>
  </si>
  <si>
    <t>Autres dépenses du titre 1</t>
  </si>
  <si>
    <t>SP</t>
  </si>
  <si>
    <t>Spécialités pharmaceutiques non facturables en sus</t>
  </si>
  <si>
    <t>SP FES</t>
  </si>
  <si>
    <t>Spécialités pharmaceutiques facturables en sus</t>
  </si>
  <si>
    <t>SP ATU</t>
  </si>
  <si>
    <t>Spécialités pharmaceutiques sous ATU</t>
  </si>
  <si>
    <t>PSL</t>
  </si>
  <si>
    <t>Produits sanguins labiles</t>
  </si>
  <si>
    <t>DMI</t>
  </si>
  <si>
    <t>Dispositifs médicaux implantables non facturables en sus</t>
  </si>
  <si>
    <t>DMI FES</t>
  </si>
  <si>
    <t>Dispositifs médicaux implantables facturables en sus</t>
  </si>
  <si>
    <t>CM</t>
  </si>
  <si>
    <t>Consommables médicaux</t>
  </si>
  <si>
    <t>ALMM</t>
  </si>
  <si>
    <t>Amortissements et locations des matériels</t>
  </si>
  <si>
    <t>EMMM</t>
  </si>
  <si>
    <t>Entretien et maintenance des matériels</t>
  </si>
  <si>
    <t>STMI</t>
  </si>
  <si>
    <t>Sous-traitance médicale - Imagerie</t>
  </si>
  <si>
    <t>STML</t>
  </si>
  <si>
    <t>Sous-traitance médicale - Laboratoires</t>
  </si>
  <si>
    <t>STMA</t>
  </si>
  <si>
    <t>Sous-traitance médicale - Autre</t>
  </si>
  <si>
    <t>STTRANS</t>
  </si>
  <si>
    <t>Sous-traitance - Transport des patients hors SMUR</t>
  </si>
  <si>
    <t>AUTRESDEP_T3</t>
  </si>
  <si>
    <t>Autres dépenses du titre 3</t>
  </si>
  <si>
    <t>AUTRESDEP_T4</t>
  </si>
  <si>
    <t>Autres dépenses du titre 4</t>
  </si>
  <si>
    <t>PM_EXT</t>
  </si>
  <si>
    <t>Charges de personnel médical extérieur</t>
  </si>
  <si>
    <t>PM_REMU</t>
  </si>
  <si>
    <t>Charges de personnel médical salarié net (hors internes et étudiants)</t>
  </si>
  <si>
    <t>PI_REMU</t>
  </si>
  <si>
    <t>Charges de personnel interne et étudiant salariés net</t>
  </si>
  <si>
    <t>Référentiel</t>
  </si>
  <si>
    <t>Postes de charges nets issus de l'onglet 3-SA 
 (tous titres confondus)</t>
  </si>
  <si>
    <t>PDS</t>
  </si>
  <si>
    <t>Permanence des soins du personne médical</t>
  </si>
  <si>
    <t>SF_EXT</t>
  </si>
  <si>
    <t>Charges de personne sage-femme extérieur</t>
  </si>
  <si>
    <t>SF_REMU</t>
  </si>
  <si>
    <t>Charges de personnel sage-femme salarié net (hors internes et étudiants)</t>
  </si>
  <si>
    <t>PS_EXT</t>
  </si>
  <si>
    <t>Charges de personnel soignant extérieur</t>
  </si>
  <si>
    <t>PS_REMU</t>
  </si>
  <si>
    <t>Charges de personnel soignant salariés net</t>
  </si>
  <si>
    <t>PA_EXT</t>
  </si>
  <si>
    <t>Charges de personnel autre extérieur</t>
  </si>
  <si>
    <t>PA_REMU</t>
  </si>
  <si>
    <t>Charges de personnel autre salariés net</t>
  </si>
  <si>
    <t xml:space="preserve">Il convient de déterminer l'effet prix et l'effet volume dans l'écart avec le référentiel   ==&gt; cf. Fiche RTC_11 - VALID RTC : Analyser les écarts avec la méthode effets prix – effets volumes
Une recherche plus poussée est conseillée notamment sur les organisations en termes de performance organisationnelle relative au laboratoire. Pour cela, il faudra rencontrer les responsables de chacune de ces activités.
</t>
  </si>
  <si>
    <t>Postes de charges</t>
  </si>
  <si>
    <t>- le détail par poste de charges</t>
  </si>
  <si>
    <r>
      <rPr>
        <b/>
        <i/>
        <sz val="9"/>
        <rFont val="Verdana"/>
        <family val="2"/>
      </rPr>
      <t>2ème étape : la saisie des données</t>
    </r>
    <r>
      <rPr>
        <sz val="9"/>
        <rFont val="Verdana"/>
        <family val="2"/>
      </rPr>
      <t xml:space="preserve">
Une fois la 1ère étape réalisée, l'établissement peut saisir ses données. </t>
    </r>
    <r>
      <rPr>
        <sz val="9"/>
        <color theme="4"/>
        <rFont val="Verdana"/>
        <family val="2"/>
      </rPr>
      <t>Le principe est de "copier-coller" les données nécessaires de la source de données (onglet " Synth. SA auxiliaires") vers la grille de saisie dans les cellules grisées concernées.</t>
    </r>
    <r>
      <rPr>
        <sz val="9"/>
        <rFont val="Verdana"/>
        <family val="2"/>
      </rPr>
      <t xml:space="preserve">
Pour les SAMT, la liste déroulante s'actualise en fonction du nombre de colonnes insérées et des données figurant dans la grille de saisie SAMT.</t>
    </r>
  </si>
  <si>
    <t>3ème étape : maquette sur les évolutions des principaux indicateurs par SAMT</t>
  </si>
  <si>
    <r>
      <rPr>
        <b/>
        <sz val="9"/>
        <color theme="1"/>
        <rFont val="Verdana"/>
        <family val="2"/>
      </rPr>
      <t>Où trouver les données ?</t>
    </r>
    <r>
      <rPr>
        <sz val="9"/>
        <color theme="1"/>
        <rFont val="Verdana"/>
        <family val="2"/>
      </rPr>
      <t xml:space="preserve">
Les données sont issues du fichier contenant les tableaux VALID-RTC de contrôle et de restitution pour chaque établissement, téléchargeable à partir de la plateforme e-RTC.
Les sources de données sont le VALID RTC N et N-1 : 
- l'onglet "</t>
    </r>
    <r>
      <rPr>
        <b/>
        <i/>
        <sz val="9"/>
        <color theme="1"/>
        <rFont val="Verdana"/>
        <family val="2"/>
      </rPr>
      <t>Synth. SA auxiliaires</t>
    </r>
    <r>
      <rPr>
        <sz val="9"/>
        <color theme="1"/>
        <rFont val="Verdana"/>
        <family val="2"/>
      </rPr>
      <t>" étant destiné à récupérer les données de l'établissement
- le référentiel est disponible sur ScanSanté.</t>
    </r>
  </si>
  <si>
    <r>
      <t xml:space="preserve">Outil de fiabilisation de vos données, VALID RTC permet </t>
    </r>
    <r>
      <rPr>
        <b/>
        <sz val="9"/>
        <color theme="1"/>
        <rFont val="Verdana"/>
        <family val="2"/>
      </rPr>
      <t>une première comparaison des coûts des plateaux techniques par rapport à celui du référentiel national pour la même catégorie d'établissements</t>
    </r>
    <r>
      <rPr>
        <sz val="9"/>
        <color theme="1"/>
        <rFont val="Verdana"/>
        <family val="2"/>
      </rPr>
      <t xml:space="preserve"> (données de l'année N-1).
Ce fichier contient une maquette destinée aux établissements pour une utilisation interne (restitutions, etc.).
</t>
    </r>
    <r>
      <rPr>
        <sz val="9"/>
        <color theme="4"/>
        <rFont val="Verdana"/>
        <family val="2"/>
      </rPr>
      <t>Cette maquette est modifiable et évolutive afin de permettre toute personnalisation.</t>
    </r>
  </si>
  <si>
    <r>
      <t xml:space="preserve">L'objectif principal de la présente fiche est :
- de permettre aux établissements de </t>
    </r>
    <r>
      <rPr>
        <b/>
        <sz val="9"/>
        <rFont val="Verdana"/>
        <family val="2"/>
      </rPr>
      <t>s'approprier la richesse des données fournies par VALID-RTC</t>
    </r>
    <r>
      <rPr>
        <sz val="9"/>
        <rFont val="Verdana"/>
        <family val="2"/>
      </rPr>
      <t xml:space="preserve">
- de créer une </t>
    </r>
    <r>
      <rPr>
        <b/>
        <sz val="9"/>
        <rFont val="Verdana"/>
        <family val="2"/>
      </rPr>
      <t>démarche d'analyse "routinière"</t>
    </r>
    <r>
      <rPr>
        <sz val="9"/>
        <rFont val="Verdana"/>
        <family val="2"/>
      </rPr>
      <t xml:space="preserve">
- d'</t>
    </r>
    <r>
      <rPr>
        <b/>
        <sz val="9"/>
        <rFont val="Verdana"/>
        <family val="2"/>
      </rPr>
      <t>approfondir</t>
    </r>
    <r>
      <rPr>
        <sz val="9"/>
        <rFont val="Verdana"/>
        <family val="2"/>
      </rPr>
      <t xml:space="preserve"> ses mesures et ses outils d'aide au pilotage par le recours à la</t>
    </r>
    <r>
      <rPr>
        <b/>
        <sz val="9"/>
        <rFont val="Verdana"/>
        <family val="2"/>
      </rPr>
      <t xml:space="preserve"> fiche individuelle de restitution</t>
    </r>
    <r>
      <rPr>
        <sz val="9"/>
        <rFont val="Verdana"/>
        <family val="2"/>
      </rPr>
      <t xml:space="preserve"> et le référentiel de coûts disponible </t>
    </r>
    <r>
      <rPr>
        <i/>
        <sz val="9"/>
        <rFont val="Verdana"/>
        <family val="2"/>
      </rPr>
      <t>via</t>
    </r>
    <r>
      <rPr>
        <sz val="9"/>
        <rFont val="Verdana"/>
        <family val="2"/>
      </rPr>
      <t xml:space="preserve"> </t>
    </r>
    <r>
      <rPr>
        <b/>
        <sz val="9"/>
        <rFont val="Verdana"/>
        <family val="2"/>
      </rPr>
      <t>Scansanté</t>
    </r>
    <r>
      <rPr>
        <sz val="9"/>
        <rFont val="Verdana"/>
        <family val="2"/>
      </rPr>
      <t xml:space="preserve">.
L'intérêt est de :
- </t>
    </r>
    <r>
      <rPr>
        <b/>
        <sz val="9"/>
        <rFont val="Verdana"/>
        <family val="2"/>
      </rPr>
      <t>Fiabiliser les données</t>
    </r>
    <r>
      <rPr>
        <sz val="9"/>
        <rFont val="Verdana"/>
        <family val="2"/>
      </rPr>
      <t xml:space="preserve"> de chaque section d'analyse médico-technique et de logistique médicale (charges brutes, produits déductibles, unité d'œuvre, ETPr).
- Comparer ses données avec le </t>
    </r>
    <r>
      <rPr>
        <b/>
        <sz val="9"/>
        <rFont val="Verdana"/>
        <family val="2"/>
      </rPr>
      <t>référentiel national</t>
    </r>
    <r>
      <rPr>
        <sz val="9"/>
        <rFont val="Verdana"/>
        <family val="2"/>
      </rPr>
      <t xml:space="preserve">.
- Proposer aux établissements qui le souhaitent une trame de restitution interne, utilisable en l'état après saisie ou recopie des données puis personnalisable et évolutive au gré des utilisations et selon les besoins de l'établissement, </t>
    </r>
    <r>
      <rPr>
        <b/>
        <sz val="9"/>
        <rFont val="Verdana"/>
        <family val="2"/>
      </rPr>
      <t>notamment dans le dialogue de gestion.</t>
    </r>
  </si>
  <si>
    <r>
      <rPr>
        <b/>
        <sz val="9"/>
        <rFont val="Verdana"/>
        <family val="2"/>
      </rPr>
      <t>A la différence des sections de logistique et gestion générale (LGG) et de logistique médicale (LM)</t>
    </r>
    <r>
      <rPr>
        <sz val="9"/>
        <rFont val="Verdana"/>
        <family val="2"/>
      </rPr>
      <t xml:space="preserve"> qui resposent sur une liste "fermée", les plateaux médico-techniques présentent des choix multiples et variés.
Aussi, </t>
    </r>
    <r>
      <rPr>
        <b/>
        <sz val="9"/>
        <rFont val="Verdana"/>
        <family val="2"/>
      </rPr>
      <t>la première étape à réaliser dans la grille de saisie consiste à insérer autant de colonnes que de sections médico-techniques déclarées dans le RTC ou à analyser</t>
    </r>
    <r>
      <rPr>
        <sz val="9"/>
        <rFont val="Verdana"/>
        <family val="2"/>
      </rPr>
      <t>.</t>
    </r>
  </si>
  <si>
    <t>- Allocations chômage des PM PNM</t>
  </si>
  <si>
    <t>D1'</t>
  </si>
  <si>
    <t>9314</t>
  </si>
  <si>
    <t>LGG - Blanchisserie</t>
  </si>
  <si>
    <t>9313</t>
  </si>
  <si>
    <t>LGG - Restauration</t>
  </si>
  <si>
    <t>93116</t>
  </si>
  <si>
    <t>LGG - Services hôteliers</t>
  </si>
  <si>
    <t>931171</t>
  </si>
  <si>
    <t>LGG - LDP - Brancardage et transport pédestre des patients</t>
  </si>
  <si>
    <t>9311721</t>
  </si>
  <si>
    <t>LGG - LDP - Transport motorisé (hors SMUR) des patients - sous-traité</t>
  </si>
  <si>
    <t>9311722</t>
  </si>
  <si>
    <t>LGG - LDP - Transport motorisé (hors SMUR) des patients - interne</t>
  </si>
  <si>
    <t>93118</t>
  </si>
  <si>
    <t>LGG - Entretien-maintenance</t>
  </si>
  <si>
    <t>93114</t>
  </si>
  <si>
    <t>LGG - DSI</t>
  </si>
  <si>
    <t>93115</t>
  </si>
  <si>
    <t>LGG - DIM</t>
  </si>
  <si>
    <t>93113</t>
  </si>
  <si>
    <t>LGG - Accueil et gestion des malades</t>
  </si>
  <si>
    <t>931120</t>
  </si>
  <si>
    <t>LGG - SALP - (hors CLM,CLD, syndicats, Garderie-Crèche et ARE)</t>
  </si>
  <si>
    <t>931124</t>
  </si>
  <si>
    <t>LGG - SALP - Personnel en absence longue durée (CLM, CLD)</t>
  </si>
  <si>
    <t>93112122</t>
  </si>
  <si>
    <t>LGG - SALP - Syndicats</t>
  </si>
  <si>
    <t>93112124</t>
  </si>
  <si>
    <t>LGG - SALP - Garderie-Crèche</t>
  </si>
  <si>
    <t>931110</t>
  </si>
  <si>
    <t>LGG - SACG - hors service mortuaire et morgue.</t>
  </si>
  <si>
    <t>9311215</t>
  </si>
  <si>
    <t>LGG - SALP - ARE</t>
  </si>
  <si>
    <t>D2'</t>
  </si>
  <si>
    <t>Montant total imputé au titre des charges des SA LGG via les clés de répartition</t>
  </si>
  <si>
    <t>P=C+D1'+D2'</t>
  </si>
  <si>
    <t>Total des charges nettes majorées de LM (SAMT) ou charges nettes majorées de LGG (MET) via les clés de répartition à ventiler sur les SA définitives</t>
  </si>
  <si>
    <t>O=A+D1'+D2'</t>
  </si>
  <si>
    <t>Total des charges brutes majorées de LM (SAMT) ou charges brutes majorées de LGG (MET) via les clés de répartition</t>
  </si>
  <si>
    <t>Coût d'UO LGG et LM : (Total des charges brutes/ Nb d'UO produites) ; Coût d'UO de SAMT : (Total des charges brutes + LM via les clés / Nb d'UO produites) ; Coût d'UO de MET : (Total des charges brutes + LGG via les clés / Nb d'UO produites)</t>
  </si>
  <si>
    <t>ETPR Personnel Sages-femmes (hors internes et étudiants)</t>
  </si>
  <si>
    <t>Valorisation_Euro</t>
  </si>
  <si>
    <t>Laboratoire général - Interne</t>
  </si>
  <si>
    <t>Anatomo-Cyto-Pathologie</t>
  </si>
  <si>
    <t>Bloc opératoire central</t>
  </si>
  <si>
    <t>Radiologie - Interne</t>
  </si>
  <si>
    <t>Anesthésiologie</t>
  </si>
  <si>
    <t>Interne</t>
  </si>
  <si>
    <t>Moyenne
de la catégorie d'ES
RTC 2021</t>
  </si>
  <si>
    <t>Nb ETP PNM - PS</t>
  </si>
  <si>
    <t>Nb d'UO produites / ETP PNM - PS</t>
  </si>
  <si>
    <t>Nb ETP PNM- PA</t>
  </si>
  <si>
    <t>Nb d'UO produites / ETP PNM - PA</t>
  </si>
  <si>
    <t>Nb d'ETP Sage Femme SF</t>
  </si>
  <si>
    <t>Coût moyen du Personnel Isage Femmes</t>
  </si>
  <si>
    <t>Nb d'UO produites / ETP SF</t>
  </si>
  <si>
    <t>truc</t>
  </si>
  <si>
    <t>machin</t>
  </si>
  <si>
    <t xml:space="preserve">Le coût de l'UO de labo a progressé de +8% entre 2022 et 2011, pour s'établir à 0,247€. 
Ce coût est au dessus de la référence RTC qui est de 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</si>
</sst>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4" formatCode="_-* #,##0.00\ &quot;€&quot;_-;\-* #,##0.00\ &quot;€&quot;_-;_-* &quot;-&quot;??\ &quot;€&quot;_-;_-@_-"/>
    <numFmt numFmtId="164" formatCode="_-* #,##0.00\ _€_-;\-* #,##0.00\ _€_-;_-* &quot;-&quot;??\ _€_-;_-@_-"/>
    <numFmt numFmtId="165" formatCode="#,##0\ &quot;€&quot;"/>
    <numFmt numFmtId="166" formatCode="#,##0.00\ &quot;€&quot;"/>
    <numFmt numFmtId="167" formatCode="&quot;€&quot;#,##0_);\(&quot;€&quot;#,##0\)"/>
    <numFmt numFmtId="168" formatCode="#,##0.0"/>
    <numFmt numFmtId="169" formatCode="_-* #,##0\ _€_-;\-* #,##0\ _€_-;_-* &quot;-&quot;??\ _€_-;_-@_-"/>
    <numFmt numFmtId="170" formatCode="0.000"/>
    <numFmt numFmtId="171" formatCode="#,##0.000\ &quot;€&quot;"/>
  </numFmts>
  <fonts count="76">
    <font>
      <sz val="10"/>
      <color theme="1"/>
      <name val="Verdana"/>
      <family val="2"/>
    </font>
    <font>
      <sz val="11"/>
      <color theme="1"/>
      <name val="Calibri"/>
      <family val="2"/>
      <scheme val="minor"/>
    </font>
    <font>
      <sz val="10"/>
      <color rgb="FFFF0000"/>
      <name val="Verdana"/>
      <family val="2"/>
    </font>
    <font>
      <b/>
      <sz val="10"/>
      <color theme="1"/>
      <name val="Verdana"/>
      <family val="2"/>
    </font>
    <font>
      <sz val="8"/>
      <name val="Verdana"/>
      <family val="2"/>
    </font>
    <font>
      <b/>
      <sz val="16"/>
      <color theme="0"/>
      <name val="Verdana"/>
      <family val="2"/>
    </font>
    <font>
      <sz val="9"/>
      <color theme="1"/>
      <name val="Verdana"/>
      <family val="2"/>
    </font>
    <font>
      <sz val="12"/>
      <color theme="1"/>
      <name val="Wingdings"/>
      <charset val="2"/>
    </font>
    <font>
      <sz val="10"/>
      <color theme="1"/>
      <name val="Verdana"/>
      <family val="2"/>
    </font>
    <font>
      <b/>
      <sz val="11"/>
      <color theme="0"/>
      <name val="Calibri"/>
      <family val="2"/>
      <scheme val="minor"/>
    </font>
    <font>
      <sz val="11"/>
      <color theme="0"/>
      <name val="Calibri"/>
      <family val="2"/>
      <scheme val="minor"/>
    </font>
    <font>
      <u/>
      <sz val="10"/>
      <color theme="10"/>
      <name val="Verdana"/>
      <family val="2"/>
    </font>
    <font>
      <u/>
      <sz val="10"/>
      <color theme="0"/>
      <name val="Verdana"/>
      <family val="2"/>
    </font>
    <font>
      <sz val="9"/>
      <color rgb="FF00B050"/>
      <name val="Verdana"/>
      <family val="2"/>
    </font>
    <font>
      <i/>
      <sz val="9"/>
      <color theme="1"/>
      <name val="Verdana"/>
      <family val="2"/>
    </font>
    <font>
      <b/>
      <sz val="9"/>
      <color theme="0"/>
      <name val="Verdana"/>
      <family val="2"/>
    </font>
    <font>
      <b/>
      <sz val="9"/>
      <color theme="1"/>
      <name val="Verdana"/>
      <family val="2"/>
    </font>
    <font>
      <b/>
      <sz val="12"/>
      <name val="Verdana"/>
      <family val="2"/>
    </font>
    <font>
      <i/>
      <sz val="8"/>
      <color theme="1"/>
      <name val="Verdana"/>
      <family val="2"/>
    </font>
    <font>
      <sz val="9"/>
      <name val="Verdana"/>
      <family val="2"/>
    </font>
    <font>
      <b/>
      <sz val="9"/>
      <name val="Verdana"/>
      <family val="2"/>
    </font>
    <font>
      <b/>
      <i/>
      <sz val="9"/>
      <name val="Verdana"/>
      <family val="2"/>
    </font>
    <font>
      <b/>
      <sz val="9"/>
      <color rgb="FFFF0000"/>
      <name val="Verdana"/>
      <family val="2"/>
    </font>
    <font>
      <b/>
      <i/>
      <sz val="9"/>
      <color theme="1"/>
      <name val="Verdana"/>
      <family val="2"/>
    </font>
    <font>
      <sz val="11"/>
      <color indexed="8"/>
      <name val="Calibri"/>
      <family val="2"/>
    </font>
    <font>
      <b/>
      <sz val="24"/>
      <color rgb="FF002060"/>
      <name val="Calibri"/>
      <family val="2"/>
      <scheme val="minor"/>
    </font>
    <font>
      <b/>
      <sz val="22"/>
      <color theme="0"/>
      <name val="Calibri"/>
      <family val="2"/>
      <scheme val="minor"/>
    </font>
    <font>
      <b/>
      <sz val="22"/>
      <color theme="3" tint="-0.249977111117893"/>
      <name val="Calibri"/>
      <family val="2"/>
      <scheme val="minor"/>
    </font>
    <font>
      <b/>
      <sz val="11"/>
      <color theme="3" tint="-0.249977111117893"/>
      <name val="Calibri"/>
      <family val="2"/>
      <scheme val="minor"/>
    </font>
    <font>
      <b/>
      <i/>
      <sz val="11"/>
      <color theme="1"/>
      <name val="Calibri"/>
      <family val="2"/>
      <scheme val="minor"/>
    </font>
    <font>
      <b/>
      <sz val="14"/>
      <color theme="3" tint="-0.249977111117893"/>
      <name val="Calibri"/>
      <family val="2"/>
      <scheme val="minor"/>
    </font>
    <font>
      <sz val="11"/>
      <color theme="3" tint="-0.249977111117893"/>
      <name val="Calibri"/>
      <family val="2"/>
      <scheme val="minor"/>
    </font>
    <font>
      <b/>
      <i/>
      <sz val="11"/>
      <color theme="3" tint="-0.249977111117893"/>
      <name val="Calibri"/>
      <family val="2"/>
      <scheme val="minor"/>
    </font>
    <font>
      <sz val="11"/>
      <color theme="3" tint="-0.24994659260841701"/>
      <name val="Calibri"/>
      <family val="2"/>
      <scheme val="minor"/>
    </font>
    <font>
      <b/>
      <sz val="11"/>
      <color rgb="FFFF0000"/>
      <name val="Calibri"/>
      <family val="2"/>
      <scheme val="minor"/>
    </font>
    <font>
      <b/>
      <sz val="16"/>
      <color rgb="FFFF0000"/>
      <name val="Calibri"/>
      <family val="2"/>
      <scheme val="minor"/>
    </font>
    <font>
      <b/>
      <sz val="18"/>
      <color theme="0"/>
      <name val="Calibri"/>
      <family val="2"/>
      <scheme val="minor"/>
    </font>
    <font>
      <b/>
      <i/>
      <sz val="11"/>
      <color theme="3" tint="-0.24994659260841701"/>
      <name val="Calibri"/>
      <family val="2"/>
      <scheme val="minor"/>
    </font>
    <font>
      <b/>
      <sz val="11"/>
      <color theme="3" tint="-0.24994659260841701"/>
      <name val="Calibri"/>
      <family val="2"/>
      <scheme val="minor"/>
    </font>
    <font>
      <sz val="9"/>
      <color theme="3" tint="-0.249977111117893"/>
      <name val="Calibri"/>
      <family val="2"/>
      <scheme val="minor"/>
    </font>
    <font>
      <sz val="8"/>
      <name val="Calibri"/>
      <family val="2"/>
      <scheme val="minor"/>
    </font>
    <font>
      <sz val="8"/>
      <color theme="3" tint="-0.24994659260841701"/>
      <name val="Calibri"/>
      <family val="2"/>
      <scheme val="minor"/>
    </font>
    <font>
      <i/>
      <sz val="9"/>
      <color theme="3" tint="-0.249977111117893"/>
      <name val="Calibri"/>
      <family val="2"/>
      <scheme val="minor"/>
    </font>
    <font>
      <i/>
      <sz val="11"/>
      <color theme="1"/>
      <name val="Calibri"/>
      <family val="2"/>
      <scheme val="minor"/>
    </font>
    <font>
      <i/>
      <sz val="9"/>
      <color theme="3" tint="-0.24994659260841701"/>
      <name val="Calibri"/>
      <family val="2"/>
      <scheme val="minor"/>
    </font>
    <font>
      <i/>
      <sz val="11"/>
      <color theme="3" tint="-0.24994659260841701"/>
      <name val="Calibri"/>
      <family val="2"/>
      <scheme val="minor"/>
    </font>
    <font>
      <i/>
      <sz val="8"/>
      <color theme="3" tint="-0.24994659260841701"/>
      <name val="Calibri"/>
      <family val="2"/>
      <scheme val="minor"/>
    </font>
    <font>
      <i/>
      <sz val="11"/>
      <color theme="3" tint="-0.249977111117893"/>
      <name val="Calibri"/>
      <family val="2"/>
      <scheme val="minor"/>
    </font>
    <font>
      <b/>
      <sz val="11"/>
      <name val="Calibri"/>
      <family val="2"/>
      <scheme val="minor"/>
    </font>
    <font>
      <b/>
      <sz val="9"/>
      <color theme="3" tint="-0.249977111117893"/>
      <name val="Calibri"/>
      <family val="2"/>
      <scheme val="minor"/>
    </font>
    <font>
      <b/>
      <sz val="9"/>
      <color theme="1"/>
      <name val="Calibri"/>
      <family val="2"/>
      <scheme val="minor"/>
    </font>
    <font>
      <b/>
      <sz val="9"/>
      <name val="Calibri"/>
      <family val="2"/>
      <scheme val="minor"/>
    </font>
    <font>
      <b/>
      <sz val="9"/>
      <color theme="3" tint="-0.24994659260841701"/>
      <name val="Calibri"/>
      <family val="2"/>
      <scheme val="minor"/>
    </font>
    <font>
      <b/>
      <i/>
      <sz val="9"/>
      <color rgb="FFFF0000"/>
      <name val="Calibri"/>
      <family val="2"/>
      <scheme val="minor"/>
    </font>
    <font>
      <i/>
      <sz val="9"/>
      <color theme="1"/>
      <name val="Calibri"/>
      <family val="2"/>
      <scheme val="minor"/>
    </font>
    <font>
      <b/>
      <sz val="12"/>
      <color theme="3" tint="-0.249977111117893"/>
      <name val="Calibri"/>
      <family val="2"/>
      <scheme val="minor"/>
    </font>
    <font>
      <i/>
      <sz val="10"/>
      <color theme="3" tint="-0.249977111117893"/>
      <name val="Calibri"/>
      <family val="2"/>
      <scheme val="minor"/>
    </font>
    <font>
      <sz val="9"/>
      <color rgb="FFFF0000"/>
      <name val="Verdana"/>
      <family val="2"/>
    </font>
    <font>
      <b/>
      <sz val="12"/>
      <color theme="1"/>
      <name val="Wingdings"/>
      <charset val="2"/>
    </font>
    <font>
      <b/>
      <u/>
      <sz val="9"/>
      <color rgb="FFFF0000"/>
      <name val="Verdana"/>
      <family val="2"/>
    </font>
    <font>
      <u/>
      <sz val="9"/>
      <color theme="1"/>
      <name val="Verdana"/>
      <family val="2"/>
    </font>
    <font>
      <b/>
      <u/>
      <sz val="9"/>
      <color theme="1"/>
      <name val="Verdana"/>
      <family val="2"/>
    </font>
    <font>
      <i/>
      <sz val="9"/>
      <name val="Calibri"/>
      <family val="2"/>
      <scheme val="minor"/>
    </font>
    <font>
      <b/>
      <sz val="8"/>
      <name val="Calibri"/>
      <family val="2"/>
      <scheme val="minor"/>
    </font>
    <font>
      <i/>
      <sz val="9"/>
      <name val="Verdana"/>
      <family val="2"/>
    </font>
    <font>
      <sz val="8"/>
      <color theme="1"/>
      <name val="Verdana"/>
      <family val="2"/>
    </font>
    <font>
      <b/>
      <i/>
      <sz val="10"/>
      <name val="Verdana"/>
      <family val="2"/>
    </font>
    <font>
      <sz val="9"/>
      <color rgb="FF4E455D"/>
      <name val="Helvetica"/>
    </font>
    <font>
      <b/>
      <sz val="9"/>
      <color rgb="FFFFFFFF"/>
      <name val="Helvetica"/>
    </font>
    <font>
      <b/>
      <sz val="9"/>
      <color rgb="FF4E455D"/>
      <name val="Helvetica"/>
    </font>
    <font>
      <sz val="12"/>
      <color rgb="FF000000"/>
      <name val="Albany AMT"/>
    </font>
    <font>
      <b/>
      <sz val="9"/>
      <color rgb="FF403151"/>
      <name val="Helvetica"/>
    </font>
    <font>
      <sz val="9"/>
      <color indexed="63"/>
      <name val="Arial"/>
      <family val="2"/>
    </font>
    <font>
      <sz val="14"/>
      <color theme="1"/>
      <name val="Verdana"/>
      <family val="2"/>
    </font>
    <font>
      <sz val="9"/>
      <color theme="4"/>
      <name val="Verdana"/>
      <family val="2"/>
    </font>
    <font>
      <b/>
      <sz val="14"/>
      <color rgb="FF595959"/>
      <name val="Calibri"/>
      <family val="2"/>
    </font>
  </fonts>
  <fills count="26">
    <fill>
      <patternFill patternType="none"/>
    </fill>
    <fill>
      <patternFill patternType="gray125"/>
    </fill>
    <fill>
      <patternFill patternType="solid">
        <fgColor rgb="FFC00000"/>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rgb="FF002060"/>
        <bgColor indexed="64"/>
      </patternFill>
    </fill>
    <fill>
      <patternFill patternType="solid">
        <fgColor theme="0" tint="-4.9989318521683403E-2"/>
        <bgColor indexed="64"/>
      </patternFill>
    </fill>
    <fill>
      <patternFill patternType="solid">
        <fgColor rgb="FF083564"/>
        <bgColor indexed="64"/>
      </patternFill>
    </fill>
    <fill>
      <patternFill patternType="solid">
        <fgColor rgb="FF00B0F0"/>
        <bgColor indexed="64"/>
      </patternFill>
    </fill>
    <fill>
      <patternFill patternType="solid">
        <fgColor rgb="FF003366"/>
        <bgColor indexed="64"/>
      </patternFill>
    </fill>
    <fill>
      <patternFill patternType="solid">
        <fgColor rgb="FF99CC00"/>
        <bgColor indexed="64"/>
      </patternFill>
    </fill>
    <fill>
      <patternFill patternType="solid">
        <fgColor rgb="FF008000"/>
        <bgColor indexed="64"/>
      </patternFill>
    </fill>
    <fill>
      <patternFill patternType="solid">
        <fgColor theme="0" tint="-0.249977111117893"/>
        <bgColor indexed="64"/>
      </patternFill>
    </fill>
    <fill>
      <patternFill patternType="solid">
        <fgColor rgb="FF92D050"/>
        <bgColor indexed="64"/>
      </patternFill>
    </fill>
    <fill>
      <patternFill patternType="solid">
        <fgColor rgb="FF00B050"/>
        <bgColor indexed="64"/>
      </patternFill>
    </fill>
    <fill>
      <patternFill patternType="solid">
        <fgColor rgb="FFFFFF00"/>
        <bgColor indexed="64"/>
      </patternFill>
    </fill>
    <fill>
      <patternFill patternType="solid">
        <fgColor rgb="FFFFFFFF"/>
        <bgColor indexed="64"/>
      </patternFill>
    </fill>
    <fill>
      <patternFill patternType="solid">
        <fgColor rgb="FFCC99FF"/>
        <bgColor indexed="64"/>
      </patternFill>
    </fill>
    <fill>
      <patternFill patternType="solid">
        <fgColor rgb="FF008080"/>
        <bgColor indexed="64"/>
      </patternFill>
    </fill>
    <fill>
      <patternFill patternType="solid">
        <fgColor rgb="FF33CC33"/>
        <bgColor indexed="64"/>
      </patternFill>
    </fill>
    <fill>
      <patternFill patternType="solid">
        <fgColor rgb="FFCCFFCC"/>
        <bgColor indexed="64"/>
      </patternFill>
    </fill>
    <fill>
      <patternFill patternType="solid">
        <fgColor rgb="FFDCE6F1"/>
        <bgColor indexed="64"/>
      </patternFill>
    </fill>
    <fill>
      <patternFill patternType="solid">
        <fgColor rgb="FF92CDDC"/>
        <bgColor indexed="64"/>
      </patternFill>
    </fill>
    <fill>
      <patternFill patternType="solid">
        <fgColor theme="2" tint="-9.9978637043366805E-2"/>
        <bgColor indexed="64"/>
      </patternFill>
    </fill>
    <fill>
      <patternFill patternType="solid">
        <fgColor theme="2"/>
        <bgColor indexed="64"/>
      </patternFill>
    </fill>
    <fill>
      <patternFill patternType="solid">
        <fgColor rgb="FFCCCCFF"/>
        <bgColor indexed="64"/>
      </patternFill>
    </fill>
  </fills>
  <borders count="34">
    <border>
      <left/>
      <right/>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ck">
        <color theme="0" tint="-0.34998626667073579"/>
      </right>
      <top style="thin">
        <color theme="0" tint="-0.34998626667073579"/>
      </top>
      <bottom/>
      <diagonal/>
    </border>
    <border>
      <left style="thin">
        <color theme="0" tint="-0.34998626667073579"/>
      </left>
      <right/>
      <top/>
      <bottom/>
      <diagonal/>
    </border>
    <border>
      <left/>
      <right style="thick">
        <color theme="0" tint="-0.34998626667073579"/>
      </right>
      <top/>
      <bottom/>
      <diagonal/>
    </border>
    <border>
      <left style="thin">
        <color theme="0" tint="-0.34998626667073579"/>
      </left>
      <right/>
      <top/>
      <bottom style="thick">
        <color theme="0" tint="-0.34998626667073579"/>
      </bottom>
      <diagonal/>
    </border>
    <border>
      <left/>
      <right/>
      <top/>
      <bottom style="thick">
        <color theme="0" tint="-0.34998626667073579"/>
      </bottom>
      <diagonal/>
    </border>
    <border>
      <left/>
      <right style="thick">
        <color theme="0" tint="-0.34998626667073579"/>
      </right>
      <top/>
      <bottom style="thick">
        <color theme="0" tint="-0.34998626667073579"/>
      </bottom>
      <diagonal/>
    </border>
    <border>
      <left style="thin">
        <color rgb="FFA6A6A6"/>
      </left>
      <right style="thin">
        <color rgb="FFA6A6A6"/>
      </right>
      <top style="thin">
        <color rgb="FFA6A6A6"/>
      </top>
      <bottom style="thin">
        <color rgb="FFA6A6A6"/>
      </bottom>
      <diagonal/>
    </border>
    <border>
      <left style="hair">
        <color theme="3"/>
      </left>
      <right/>
      <top/>
      <bottom style="hair">
        <color theme="3"/>
      </bottom>
      <diagonal/>
    </border>
    <border>
      <left/>
      <right/>
      <top/>
      <bottom style="hair">
        <color theme="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theme="3"/>
      </left>
      <right/>
      <top style="hair">
        <color theme="3"/>
      </top>
      <bottom style="hair">
        <color theme="3"/>
      </bottom>
      <diagonal/>
    </border>
    <border>
      <left/>
      <right/>
      <top style="hair">
        <color theme="3"/>
      </top>
      <bottom style="hair">
        <color theme="3"/>
      </bottom>
      <diagonal/>
    </border>
    <border>
      <left/>
      <right style="hair">
        <color theme="3"/>
      </right>
      <top style="hair">
        <color theme="3"/>
      </top>
      <bottom style="hair">
        <color theme="3"/>
      </bottom>
      <diagonal/>
    </border>
    <border>
      <left style="hair">
        <color theme="3"/>
      </left>
      <right style="hair">
        <color theme="3"/>
      </right>
      <top style="hair">
        <color theme="3"/>
      </top>
      <bottom style="hair">
        <color theme="3"/>
      </bottom>
      <diagonal/>
    </border>
    <border>
      <left style="hair">
        <color theme="3"/>
      </left>
      <right/>
      <top style="hair">
        <color theme="3"/>
      </top>
      <bottom/>
      <diagonal/>
    </border>
    <border>
      <left/>
      <right style="hair">
        <color theme="3"/>
      </right>
      <top style="hair">
        <color theme="3"/>
      </top>
      <bottom/>
      <diagonal/>
    </border>
    <border>
      <left style="hair">
        <color theme="3"/>
      </left>
      <right style="hair">
        <color theme="3"/>
      </right>
      <top style="hair">
        <color theme="3"/>
      </top>
      <bottom/>
      <diagonal/>
    </border>
    <border>
      <left style="hair">
        <color theme="3"/>
      </left>
      <right/>
      <top/>
      <bottom/>
      <diagonal/>
    </border>
    <border>
      <left/>
      <right style="hair">
        <color theme="3"/>
      </right>
      <top/>
      <bottom/>
      <diagonal/>
    </border>
    <border>
      <left style="hair">
        <color theme="3"/>
      </left>
      <right style="hair">
        <color theme="3"/>
      </right>
      <top/>
      <bottom/>
      <diagonal/>
    </border>
    <border>
      <left/>
      <right style="hair">
        <color theme="3"/>
      </right>
      <top/>
      <bottom style="hair">
        <color theme="3"/>
      </bottom>
      <diagonal/>
    </border>
    <border>
      <left style="hair">
        <color theme="3"/>
      </left>
      <right style="hair">
        <color theme="3"/>
      </right>
      <top/>
      <bottom style="hair">
        <color theme="3"/>
      </bottom>
      <diagonal/>
    </border>
    <border>
      <left style="thin">
        <color rgb="FFA6A6A6"/>
      </left>
      <right style="thin">
        <color rgb="FFAAC1D9"/>
      </right>
      <top style="thin">
        <color rgb="FFA6A6A6"/>
      </top>
      <bottom style="thin">
        <color rgb="FFA6A6A6"/>
      </bottom>
      <diagonal/>
    </border>
    <border>
      <left/>
      <right style="thin">
        <color rgb="FFA6A6A6"/>
      </right>
      <top/>
      <bottom/>
      <diagonal/>
    </border>
  </borders>
  <cellStyleXfs count="6">
    <xf numFmtId="0" fontId="0" fillId="0" borderId="0"/>
    <xf numFmtId="164" fontId="8" fillId="0" borderId="0" applyFont="0" applyFill="0" applyBorder="0" applyAlignment="0" applyProtection="0"/>
    <xf numFmtId="44" fontId="8" fillId="0" borderId="0" applyFont="0" applyFill="0" applyBorder="0" applyAlignment="0" applyProtection="0"/>
    <xf numFmtId="9" fontId="8" fillId="0" borderId="0" applyFont="0" applyFill="0" applyBorder="0" applyAlignment="0" applyProtection="0"/>
    <xf numFmtId="0" fontId="11" fillId="0" borderId="0" applyNumberFormat="0" applyFill="0" applyBorder="0" applyAlignment="0" applyProtection="0"/>
    <xf numFmtId="0" fontId="24" fillId="0" borderId="0"/>
  </cellStyleXfs>
  <cellXfs count="318">
    <xf numFmtId="0" fontId="0" fillId="0" borderId="0" xfId="0"/>
    <xf numFmtId="0" fontId="12" fillId="0" borderId="0" xfId="4" applyFont="1" applyAlignment="1">
      <alignment horizontal="center" vertical="center"/>
    </xf>
    <xf numFmtId="0" fontId="13" fillId="0" borderId="0" xfId="0" applyFont="1" applyAlignment="1">
      <alignment vertical="center"/>
    </xf>
    <xf numFmtId="0" fontId="6" fillId="0" borderId="0" xfId="0" applyFont="1" applyAlignment="1">
      <alignment vertical="center"/>
    </xf>
    <xf numFmtId="0" fontId="14" fillId="0" borderId="0" xfId="0" applyFont="1" applyAlignment="1">
      <alignment vertical="center"/>
    </xf>
    <xf numFmtId="0" fontId="15" fillId="5" borderId="9" xfId="0" applyFont="1" applyFill="1" applyBorder="1" applyAlignment="1">
      <alignment horizontal="center" vertical="center" wrapText="1"/>
    </xf>
    <xf numFmtId="0" fontId="16" fillId="0" borderId="0" xfId="0" applyFont="1" applyAlignment="1">
      <alignment horizontal="center" vertical="center"/>
    </xf>
    <xf numFmtId="0" fontId="13" fillId="0" borderId="0" xfId="0" applyFont="1" applyAlignment="1">
      <alignment horizontal="center" vertical="center"/>
    </xf>
    <xf numFmtId="0" fontId="17" fillId="6" borderId="0" xfId="0" applyFont="1" applyFill="1" applyAlignment="1">
      <alignment horizontal="center" vertical="center"/>
    </xf>
    <xf numFmtId="0" fontId="18" fillId="0" borderId="0" xfId="0" applyFont="1" applyAlignment="1">
      <alignment horizontal="center" vertical="center"/>
    </xf>
    <xf numFmtId="165" fontId="6" fillId="6" borderId="0" xfId="0" applyNumberFormat="1" applyFont="1" applyFill="1" applyAlignment="1">
      <alignment vertical="center"/>
    </xf>
    <xf numFmtId="0" fontId="0" fillId="0" borderId="0" xfId="0" applyAlignment="1" applyProtection="1">
      <alignment vertical="center"/>
      <protection locked="0"/>
    </xf>
    <xf numFmtId="0" fontId="11" fillId="0" borderId="0" xfId="4" applyAlignment="1">
      <alignment horizontal="center" vertical="center"/>
    </xf>
    <xf numFmtId="0" fontId="10" fillId="0" borderId="0" xfId="0" applyFont="1" applyAlignment="1" applyProtection="1">
      <alignment vertical="center"/>
      <protection locked="0"/>
    </xf>
    <xf numFmtId="0" fontId="0" fillId="0" borderId="0" xfId="0" applyAlignment="1" applyProtection="1">
      <alignment horizontal="right" vertical="center"/>
      <protection locked="0"/>
    </xf>
    <xf numFmtId="0" fontId="27" fillId="0" borderId="0" xfId="0" applyFont="1" applyAlignment="1" applyProtection="1">
      <alignment horizontal="center" vertical="center"/>
      <protection locked="0"/>
    </xf>
    <xf numFmtId="0" fontId="28" fillId="0" borderId="0" xfId="0" applyFont="1" applyAlignment="1" applyProtection="1">
      <alignment horizontal="center" vertical="center" wrapText="1"/>
      <protection locked="0"/>
    </xf>
    <xf numFmtId="0" fontId="9" fillId="14" borderId="23" xfId="0" applyFont="1" applyFill="1" applyBorder="1" applyAlignment="1" applyProtection="1">
      <alignment horizontal="center" vertical="center" wrapText="1"/>
      <protection locked="0"/>
    </xf>
    <xf numFmtId="0" fontId="29" fillId="0" borderId="0" xfId="0" applyFont="1" applyAlignment="1" applyProtection="1">
      <alignment horizontal="center" vertical="center"/>
      <protection locked="0"/>
    </xf>
    <xf numFmtId="0" fontId="29" fillId="0" borderId="0" xfId="0" applyFont="1" applyAlignment="1" applyProtection="1">
      <alignment horizontal="right" vertical="center"/>
      <protection locked="0"/>
    </xf>
    <xf numFmtId="0" fontId="31" fillId="0" borderId="0" xfId="0" applyFont="1" applyAlignment="1" applyProtection="1">
      <alignment vertical="center"/>
      <protection locked="0"/>
    </xf>
    <xf numFmtId="0" fontId="31" fillId="0" borderId="0" xfId="0" applyFont="1" applyAlignment="1" applyProtection="1">
      <alignment horizontal="center" vertical="center"/>
      <protection locked="0"/>
    </xf>
    <xf numFmtId="0" fontId="28" fillId="0" borderId="0" xfId="0" applyFont="1" applyAlignment="1" applyProtection="1">
      <alignment horizontal="center" vertical="center"/>
      <protection locked="0"/>
    </xf>
    <xf numFmtId="0" fontId="31" fillId="0" borderId="0" xfId="0" applyFont="1" applyAlignment="1" applyProtection="1">
      <alignment horizontal="right" vertical="center"/>
      <protection locked="0"/>
    </xf>
    <xf numFmtId="165" fontId="9" fillId="0" borderId="0" xfId="0" applyNumberFormat="1" applyFont="1" applyAlignment="1" applyProtection="1">
      <alignment horizontal="center" vertical="center"/>
      <protection locked="0"/>
    </xf>
    <xf numFmtId="3" fontId="33" fillId="0" borderId="0" xfId="0" applyNumberFormat="1" applyFont="1" applyAlignment="1" applyProtection="1">
      <alignment horizontal="center" vertical="center"/>
      <protection locked="0"/>
    </xf>
    <xf numFmtId="0" fontId="33" fillId="0" borderId="0" xfId="0" applyFont="1" applyAlignment="1" applyProtection="1">
      <alignment vertical="center"/>
      <protection locked="0"/>
    </xf>
    <xf numFmtId="165" fontId="10" fillId="0" borderId="0" xfId="2" applyNumberFormat="1" applyFont="1" applyBorder="1" applyAlignment="1" applyProtection="1">
      <alignment horizontal="center" vertical="center"/>
    </xf>
    <xf numFmtId="0" fontId="33" fillId="0" borderId="0" xfId="0" applyFont="1" applyAlignment="1" applyProtection="1">
      <alignment horizontal="center" vertical="center"/>
      <protection locked="0"/>
    </xf>
    <xf numFmtId="0" fontId="36" fillId="0" borderId="0" xfId="0" applyFont="1" applyAlignment="1" applyProtection="1">
      <alignment vertical="center"/>
      <protection locked="0"/>
    </xf>
    <xf numFmtId="0" fontId="37" fillId="0" borderId="0" xfId="0" applyFont="1" applyAlignment="1" applyProtection="1">
      <alignment horizontal="center" vertical="center"/>
      <protection locked="0"/>
    </xf>
    <xf numFmtId="0" fontId="38" fillId="0" borderId="0" xfId="0" applyFont="1" applyAlignment="1" applyProtection="1">
      <alignment vertical="center"/>
      <protection locked="0"/>
    </xf>
    <xf numFmtId="0" fontId="31" fillId="0" borderId="24" xfId="0" applyFont="1" applyBorder="1" applyAlignment="1" applyProtection="1">
      <alignment vertical="center"/>
      <protection locked="0"/>
    </xf>
    <xf numFmtId="0" fontId="39" fillId="0" borderId="25" xfId="0" applyFont="1" applyBorder="1" applyAlignment="1" applyProtection="1">
      <alignment vertical="center" wrapText="1"/>
      <protection locked="0"/>
    </xf>
    <xf numFmtId="165" fontId="33" fillId="0" borderId="26" xfId="2" applyNumberFormat="1" applyFont="1" applyBorder="1" applyAlignment="1" applyProtection="1">
      <alignment horizontal="right" vertical="center"/>
      <protection locked="0"/>
    </xf>
    <xf numFmtId="166" fontId="33" fillId="0" borderId="26" xfId="2" applyNumberFormat="1" applyFont="1" applyBorder="1" applyAlignment="1" applyProtection="1">
      <alignment horizontal="right" vertical="center"/>
      <protection locked="0"/>
    </xf>
    <xf numFmtId="9" fontId="40" fillId="0" borderId="0" xfId="3" applyFont="1" applyFill="1" applyBorder="1" applyAlignment="1" applyProtection="1">
      <alignment horizontal="right" vertical="center"/>
      <protection locked="0"/>
    </xf>
    <xf numFmtId="9" fontId="41" fillId="0" borderId="0" xfId="3" applyFont="1" applyFill="1" applyBorder="1" applyAlignment="1" applyProtection="1">
      <alignment horizontal="left" vertical="center"/>
      <protection locked="0"/>
    </xf>
    <xf numFmtId="0" fontId="31" fillId="0" borderId="27" xfId="0" applyFont="1" applyBorder="1" applyAlignment="1" applyProtection="1">
      <alignment vertical="center" wrapText="1"/>
      <protection locked="0"/>
    </xf>
    <xf numFmtId="0" fontId="42" fillId="0" borderId="28" xfId="0" applyFont="1" applyBorder="1" applyAlignment="1" applyProtection="1">
      <alignment horizontal="right" vertical="center"/>
      <protection locked="0"/>
    </xf>
    <xf numFmtId="0" fontId="43" fillId="0" borderId="0" xfId="0" applyFont="1" applyAlignment="1" applyProtection="1">
      <alignment vertical="center"/>
      <protection locked="0"/>
    </xf>
    <xf numFmtId="0" fontId="45" fillId="0" borderId="0" xfId="0" applyFont="1" applyAlignment="1" applyProtection="1">
      <alignment vertical="center"/>
      <protection locked="0"/>
    </xf>
    <xf numFmtId="166" fontId="44" fillId="0" borderId="29" xfId="2" applyNumberFormat="1" applyFont="1" applyBorder="1" applyAlignment="1" applyProtection="1">
      <alignment horizontal="right" vertical="center"/>
      <protection locked="0"/>
    </xf>
    <xf numFmtId="9" fontId="46" fillId="0" borderId="0" xfId="3" applyFont="1" applyFill="1" applyBorder="1" applyAlignment="1" applyProtection="1">
      <alignment horizontal="left" vertical="center"/>
      <protection locked="0"/>
    </xf>
    <xf numFmtId="0" fontId="31" fillId="0" borderId="27" xfId="0" applyFont="1" applyBorder="1" applyAlignment="1" applyProtection="1">
      <alignment horizontal="left" vertical="center"/>
      <protection locked="0"/>
    </xf>
    <xf numFmtId="0" fontId="31" fillId="0" borderId="27" xfId="0" applyFont="1" applyBorder="1" applyAlignment="1" applyProtection="1">
      <alignment vertical="center"/>
      <protection locked="0"/>
    </xf>
    <xf numFmtId="0" fontId="39" fillId="0" borderId="28" xfId="0" applyFont="1" applyBorder="1" applyAlignment="1" applyProtection="1">
      <alignment vertical="center" wrapText="1"/>
      <protection locked="0"/>
    </xf>
    <xf numFmtId="166" fontId="33" fillId="0" borderId="29" xfId="2" applyNumberFormat="1" applyFont="1" applyBorder="1" applyAlignment="1" applyProtection="1">
      <alignment horizontal="right" vertical="center"/>
      <protection locked="0"/>
    </xf>
    <xf numFmtId="0" fontId="43" fillId="0" borderId="10" xfId="0" applyFont="1" applyBorder="1" applyAlignment="1" applyProtection="1">
      <alignment vertical="center"/>
      <protection locked="0"/>
    </xf>
    <xf numFmtId="0" fontId="47" fillId="0" borderId="30" xfId="0" applyFont="1" applyBorder="1" applyAlignment="1" applyProtection="1">
      <alignment horizontal="right" vertical="center"/>
      <protection locked="0"/>
    </xf>
    <xf numFmtId="0" fontId="31" fillId="0" borderId="0" xfId="0" applyFont="1" applyAlignment="1" applyProtection="1">
      <alignment vertical="center" wrapText="1"/>
      <protection locked="0"/>
    </xf>
    <xf numFmtId="0" fontId="39" fillId="0" borderId="0" xfId="0" applyFont="1" applyAlignment="1" applyProtection="1">
      <alignment vertical="center" wrapText="1"/>
      <protection locked="0"/>
    </xf>
    <xf numFmtId="167" fontId="33" fillId="0" borderId="0" xfId="0" applyNumberFormat="1" applyFont="1" applyAlignment="1" applyProtection="1">
      <alignment vertical="center"/>
      <protection locked="0"/>
    </xf>
    <xf numFmtId="166" fontId="33" fillId="0" borderId="0" xfId="2" applyNumberFormat="1" applyFont="1" applyBorder="1" applyAlignment="1" applyProtection="1">
      <alignment vertical="center"/>
      <protection locked="0"/>
    </xf>
    <xf numFmtId="165" fontId="0" fillId="0" borderId="0" xfId="0" applyNumberFormat="1" applyAlignment="1" applyProtection="1">
      <alignment horizontal="right" vertical="center"/>
      <protection locked="0"/>
    </xf>
    <xf numFmtId="165" fontId="10" fillId="0" borderId="0" xfId="2" applyNumberFormat="1" applyFont="1" applyBorder="1" applyAlignment="1" applyProtection="1">
      <alignment horizontal="center" vertical="center"/>
      <protection locked="0"/>
    </xf>
    <xf numFmtId="165" fontId="48" fillId="0" borderId="23" xfId="3" applyNumberFormat="1" applyFont="1" applyBorder="1" applyAlignment="1" applyProtection="1">
      <alignment horizontal="right" vertical="center"/>
      <protection locked="0"/>
    </xf>
    <xf numFmtId="0" fontId="49" fillId="0" borderId="0" xfId="0" applyFont="1" applyAlignment="1" applyProtection="1">
      <alignment horizontal="right" vertical="center"/>
      <protection locked="0"/>
    </xf>
    <xf numFmtId="0" fontId="50" fillId="0" borderId="0" xfId="0" applyFont="1" applyAlignment="1" applyProtection="1">
      <alignment vertical="center"/>
      <protection locked="0"/>
    </xf>
    <xf numFmtId="165" fontId="51" fillId="0" borderId="23" xfId="3" applyNumberFormat="1" applyFont="1" applyBorder="1" applyAlignment="1" applyProtection="1">
      <alignment horizontal="right" vertical="center"/>
      <protection locked="0"/>
    </xf>
    <xf numFmtId="0" fontId="52" fillId="0" borderId="0" xfId="0" applyFont="1" applyAlignment="1" applyProtection="1">
      <alignment vertical="center"/>
      <protection locked="0"/>
    </xf>
    <xf numFmtId="166" fontId="51" fillId="0" borderId="23" xfId="3" applyNumberFormat="1" applyFont="1" applyBorder="1" applyAlignment="1" applyProtection="1">
      <alignment horizontal="right" vertical="center"/>
      <protection locked="0"/>
    </xf>
    <xf numFmtId="9" fontId="50" fillId="0" borderId="23" xfId="3" applyFont="1" applyBorder="1" applyAlignment="1" applyProtection="1">
      <alignment horizontal="right" vertical="center"/>
      <protection locked="0"/>
    </xf>
    <xf numFmtId="165" fontId="50" fillId="0" borderId="23" xfId="3" applyNumberFormat="1" applyFont="1" applyBorder="1" applyAlignment="1" applyProtection="1">
      <alignment horizontal="right" vertical="center"/>
      <protection locked="0"/>
    </xf>
    <xf numFmtId="0" fontId="53" fillId="0" borderId="0" xfId="0" applyFont="1" applyAlignment="1" applyProtection="1">
      <alignment horizontal="right" vertical="center"/>
      <protection locked="0"/>
    </xf>
    <xf numFmtId="0" fontId="54" fillId="0" borderId="0" xfId="0" applyFont="1" applyAlignment="1" applyProtection="1">
      <alignment vertical="center"/>
      <protection locked="0"/>
    </xf>
    <xf numFmtId="0" fontId="55" fillId="0" borderId="0" xfId="0" applyFont="1" applyAlignment="1" applyProtection="1">
      <alignment horizontal="right" vertical="center"/>
      <protection locked="0"/>
    </xf>
    <xf numFmtId="0" fontId="36" fillId="0" borderId="0" xfId="0" applyFont="1" applyAlignment="1" applyProtection="1">
      <alignment horizontal="center" vertical="center"/>
      <protection locked="0"/>
    </xf>
    <xf numFmtId="0" fontId="36" fillId="0" borderId="0" xfId="0" applyFont="1" applyAlignment="1" applyProtection="1">
      <alignment horizontal="right" vertical="center"/>
      <protection locked="0"/>
    </xf>
    <xf numFmtId="0" fontId="56" fillId="0" borderId="25" xfId="0" applyFont="1" applyBorder="1" applyAlignment="1" applyProtection="1">
      <alignment horizontal="right" vertical="center"/>
      <protection locked="0"/>
    </xf>
    <xf numFmtId="4" fontId="38" fillId="0" borderId="26" xfId="0" applyNumberFormat="1" applyFont="1" applyBorder="1" applyAlignment="1" applyProtection="1">
      <alignment horizontal="center" vertical="center"/>
      <protection locked="0"/>
    </xf>
    <xf numFmtId="168" fontId="33" fillId="0" borderId="0" xfId="0" applyNumberFormat="1" applyFont="1" applyAlignment="1" applyProtection="1">
      <alignment vertical="center"/>
      <protection locked="0"/>
    </xf>
    <xf numFmtId="9" fontId="46" fillId="0" borderId="0" xfId="3" applyFont="1" applyBorder="1" applyAlignment="1" applyProtection="1">
      <alignment horizontal="center" vertical="center"/>
      <protection locked="0"/>
    </xf>
    <xf numFmtId="0" fontId="41" fillId="0" borderId="0" xfId="0" applyFont="1" applyAlignment="1" applyProtection="1">
      <alignment horizontal="left" vertical="center"/>
      <protection locked="0"/>
    </xf>
    <xf numFmtId="0" fontId="31" fillId="0" borderId="10" xfId="0" applyFont="1" applyBorder="1" applyAlignment="1" applyProtection="1">
      <alignment vertical="center"/>
      <protection locked="0"/>
    </xf>
    <xf numFmtId="0" fontId="39" fillId="0" borderId="30" xfId="0" applyFont="1" applyBorder="1" applyAlignment="1" applyProtection="1">
      <alignment vertical="center" wrapText="1"/>
      <protection locked="0"/>
    </xf>
    <xf numFmtId="3" fontId="33" fillId="0" borderId="0" xfId="0" applyNumberFormat="1" applyFont="1" applyAlignment="1" applyProtection="1">
      <alignment vertical="center"/>
      <protection locked="0"/>
    </xf>
    <xf numFmtId="0" fontId="28" fillId="0" borderId="0" xfId="0" applyFont="1" applyAlignment="1" applyProtection="1">
      <alignment horizontal="center" vertical="center" textRotation="90"/>
      <protection locked="0"/>
    </xf>
    <xf numFmtId="0" fontId="41" fillId="0" borderId="0" xfId="0" applyFont="1" applyAlignment="1" applyProtection="1">
      <alignment horizontal="right" vertical="center"/>
      <protection locked="0"/>
    </xf>
    <xf numFmtId="0" fontId="6" fillId="0" borderId="0" xfId="0" applyFont="1" applyAlignment="1">
      <alignment horizontal="center" vertical="center"/>
    </xf>
    <xf numFmtId="0" fontId="0" fillId="0" borderId="0" xfId="0" applyAlignment="1" applyProtection="1">
      <alignment horizontal="center" vertical="center"/>
      <protection locked="0"/>
    </xf>
    <xf numFmtId="0" fontId="32" fillId="0" borderId="0" xfId="0" applyFont="1" applyAlignment="1" applyProtection="1">
      <alignment horizontal="right" vertical="center"/>
      <protection locked="0"/>
    </xf>
    <xf numFmtId="165" fontId="16" fillId="6" borderId="0" xfId="0" applyNumberFormat="1" applyFont="1" applyFill="1" applyAlignment="1">
      <alignment horizontal="center" vertical="center" wrapText="1"/>
    </xf>
    <xf numFmtId="0" fontId="0" fillId="0" borderId="0" xfId="0" applyAlignment="1">
      <alignment vertical="center"/>
    </xf>
    <xf numFmtId="9" fontId="1" fillId="0" borderId="23" xfId="3" applyFont="1" applyBorder="1" applyAlignment="1" applyProtection="1">
      <alignment horizontal="right" vertical="center"/>
      <protection locked="0"/>
    </xf>
    <xf numFmtId="166" fontId="1" fillId="0" borderId="23" xfId="3" applyNumberFormat="1" applyFont="1" applyBorder="1" applyAlignment="1" applyProtection="1">
      <alignment horizontal="right" vertical="center"/>
      <protection locked="0"/>
    </xf>
    <xf numFmtId="3" fontId="1" fillId="0" borderId="23" xfId="3" applyNumberFormat="1" applyFont="1" applyBorder="1" applyAlignment="1" applyProtection="1">
      <alignment horizontal="right" vertical="center"/>
      <protection locked="0"/>
    </xf>
    <xf numFmtId="9" fontId="1" fillId="0" borderId="26" xfId="3" applyFont="1" applyBorder="1" applyAlignment="1" applyProtection="1">
      <alignment horizontal="right" vertical="center"/>
      <protection locked="0"/>
    </xf>
    <xf numFmtId="165" fontId="1" fillId="0" borderId="26" xfId="3" applyNumberFormat="1" applyFont="1" applyBorder="1" applyAlignment="1" applyProtection="1">
      <alignment horizontal="right" vertical="center"/>
      <protection locked="0"/>
    </xf>
    <xf numFmtId="9" fontId="1" fillId="0" borderId="29" xfId="3" applyFont="1" applyBorder="1" applyAlignment="1" applyProtection="1">
      <alignment horizontal="right" vertical="center"/>
      <protection locked="0"/>
    </xf>
    <xf numFmtId="165" fontId="1" fillId="0" borderId="29" xfId="3" applyNumberFormat="1" applyFont="1" applyBorder="1" applyAlignment="1" applyProtection="1">
      <alignment horizontal="right" vertical="center"/>
      <protection locked="0"/>
    </xf>
    <xf numFmtId="9" fontId="1" fillId="0" borderId="31" xfId="3" applyFont="1" applyBorder="1" applyAlignment="1" applyProtection="1">
      <alignment horizontal="right" vertical="center"/>
      <protection locked="0"/>
    </xf>
    <xf numFmtId="165" fontId="1" fillId="0" borderId="23" xfId="3" applyNumberFormat="1" applyFont="1" applyBorder="1" applyAlignment="1" applyProtection="1">
      <alignment horizontal="right" vertical="center"/>
      <protection locked="0"/>
    </xf>
    <xf numFmtId="9" fontId="1" fillId="0" borderId="0" xfId="3" applyFont="1" applyBorder="1" applyAlignment="1" applyProtection="1">
      <alignment horizontal="right" vertical="center"/>
      <protection locked="0"/>
    </xf>
    <xf numFmtId="4" fontId="1" fillId="0" borderId="26" xfId="3" applyNumberFormat="1" applyFont="1" applyBorder="1" applyAlignment="1" applyProtection="1">
      <alignment horizontal="right" vertical="center"/>
      <protection locked="0"/>
    </xf>
    <xf numFmtId="3" fontId="1" fillId="0" borderId="31" xfId="3" applyNumberFormat="1" applyFont="1" applyBorder="1" applyAlignment="1" applyProtection="1">
      <alignment horizontal="right" vertical="center"/>
      <protection locked="0"/>
    </xf>
    <xf numFmtId="0" fontId="6" fillId="0" borderId="7" xfId="0" applyFont="1" applyBorder="1" applyAlignment="1">
      <alignment vertical="center"/>
    </xf>
    <xf numFmtId="0" fontId="6" fillId="0" borderId="8" xfId="0" applyFont="1" applyBorder="1" applyAlignment="1">
      <alignment vertical="center"/>
    </xf>
    <xf numFmtId="0" fontId="0" fillId="0" borderId="4" xfId="0" applyBorder="1" applyAlignment="1">
      <alignment vertical="center"/>
    </xf>
    <xf numFmtId="0" fontId="0" fillId="0" borderId="0" xfId="0" applyAlignment="1">
      <alignment vertical="center" wrapText="1"/>
    </xf>
    <xf numFmtId="0" fontId="0" fillId="0" borderId="4" xfId="0" applyBorder="1" applyAlignment="1">
      <alignment vertical="center" wrapText="1"/>
    </xf>
    <xf numFmtId="0" fontId="3" fillId="0" borderId="4" xfId="0" applyFont="1" applyBorder="1" applyAlignment="1">
      <alignment vertical="center"/>
    </xf>
    <xf numFmtId="0" fontId="0" fillId="0" borderId="6" xfId="0" applyBorder="1" applyAlignment="1">
      <alignment vertical="center"/>
    </xf>
    <xf numFmtId="0" fontId="0" fillId="0" borderId="7" xfId="0" applyBorder="1" applyAlignment="1">
      <alignment horizontal="center" vertical="center"/>
    </xf>
    <xf numFmtId="0" fontId="0" fillId="0" borderId="8" xfId="0" applyBorder="1" applyAlignment="1">
      <alignment horizontal="center" vertical="center"/>
    </xf>
    <xf numFmtId="0" fontId="6" fillId="0" borderId="6" xfId="0" applyFont="1" applyBorder="1" applyAlignment="1">
      <alignment vertical="center"/>
    </xf>
    <xf numFmtId="0" fontId="2" fillId="0" borderId="0" xfId="0" applyFont="1" applyAlignment="1">
      <alignment vertical="center"/>
    </xf>
    <xf numFmtId="0" fontId="65" fillId="0" borderId="0" xfId="0" applyFont="1" applyAlignment="1" applyProtection="1">
      <alignment vertical="center"/>
      <protection locked="0"/>
    </xf>
    <xf numFmtId="0" fontId="66" fillId="0" borderId="0" xfId="0" applyFont="1" applyAlignment="1">
      <alignment vertical="center"/>
    </xf>
    <xf numFmtId="0" fontId="21" fillId="0" borderId="4" xfId="0" applyFont="1" applyBorder="1" applyAlignment="1">
      <alignment vertical="center"/>
    </xf>
    <xf numFmtId="0" fontId="21" fillId="0" borderId="5" xfId="0" applyFont="1" applyBorder="1" applyAlignment="1">
      <alignment vertical="center"/>
    </xf>
    <xf numFmtId="0" fontId="3" fillId="0" borderId="0" xfId="0" applyFont="1" applyAlignment="1">
      <alignment horizontal="right" vertical="center"/>
    </xf>
    <xf numFmtId="0" fontId="58" fillId="0" borderId="0" xfId="0" applyFont="1" applyAlignment="1">
      <alignment vertical="center"/>
    </xf>
    <xf numFmtId="0" fontId="58" fillId="0" borderId="5" xfId="0" applyFont="1" applyBorder="1" applyAlignment="1">
      <alignment vertical="center"/>
    </xf>
    <xf numFmtId="0" fontId="0" fillId="0" borderId="5" xfId="0" applyBorder="1" applyAlignment="1">
      <alignment vertical="center"/>
    </xf>
    <xf numFmtId="16" fontId="0" fillId="0" borderId="0" xfId="0" applyNumberFormat="1" applyAlignment="1">
      <alignment horizontal="right" vertical="center"/>
    </xf>
    <xf numFmtId="0" fontId="7" fillId="0" borderId="0" xfId="0" applyFont="1" applyAlignment="1">
      <alignment vertical="center"/>
    </xf>
    <xf numFmtId="0" fontId="0" fillId="0" borderId="0" xfId="0" applyAlignment="1">
      <alignment horizontal="right" vertical="center"/>
    </xf>
    <xf numFmtId="0" fontId="6" fillId="0" borderId="0" xfId="0" applyFont="1" applyAlignment="1">
      <alignment horizontal="right" vertical="center" wrapText="1"/>
    </xf>
    <xf numFmtId="0" fontId="6" fillId="0" borderId="4" xfId="0" applyFont="1" applyBorder="1" applyAlignment="1">
      <alignment vertical="top"/>
    </xf>
    <xf numFmtId="0" fontId="6" fillId="0" borderId="0" xfId="0" applyFont="1" applyAlignment="1">
      <alignment vertical="top"/>
    </xf>
    <xf numFmtId="0" fontId="6" fillId="0" borderId="5" xfId="0" applyFont="1" applyBorder="1" applyAlignment="1">
      <alignment vertical="top"/>
    </xf>
    <xf numFmtId="0" fontId="6" fillId="0" borderId="4" xfId="0" applyFont="1" applyBorder="1" applyAlignment="1">
      <alignment horizontal="left" vertical="top"/>
    </xf>
    <xf numFmtId="0" fontId="6" fillId="0" borderId="0" xfId="0" applyFont="1" applyAlignment="1">
      <alignment horizontal="left" vertical="top"/>
    </xf>
    <xf numFmtId="0" fontId="6" fillId="0" borderId="5" xfId="0" applyFont="1" applyBorder="1" applyAlignment="1">
      <alignment horizontal="left" vertical="top"/>
    </xf>
    <xf numFmtId="0" fontId="19" fillId="0" borderId="4" xfId="0" quotePrefix="1" applyFont="1" applyBorder="1" applyAlignment="1">
      <alignment horizontal="left" vertical="top"/>
    </xf>
    <xf numFmtId="0" fontId="6" fillId="0" borderId="6" xfId="0" applyFont="1" applyBorder="1" applyAlignment="1">
      <alignment horizontal="left" vertical="top"/>
    </xf>
    <xf numFmtId="0" fontId="6" fillId="0" borderId="7" xfId="0" applyFont="1" applyBorder="1" applyAlignment="1">
      <alignment horizontal="left" vertical="top"/>
    </xf>
    <xf numFmtId="0" fontId="6" fillId="0" borderId="8" xfId="0" applyFont="1" applyBorder="1" applyAlignment="1">
      <alignment horizontal="left" vertical="top"/>
    </xf>
    <xf numFmtId="0" fontId="57" fillId="0" borderId="4" xfId="0" applyFont="1" applyBorder="1" applyAlignment="1">
      <alignment vertical="top"/>
    </xf>
    <xf numFmtId="0" fontId="21" fillId="0" borderId="0" xfId="0" applyFont="1" applyAlignment="1">
      <alignment vertical="center"/>
    </xf>
    <xf numFmtId="0" fontId="6" fillId="0" borderId="4" xfId="0" quotePrefix="1" applyFont="1" applyBorder="1" applyAlignment="1">
      <alignment vertical="top"/>
    </xf>
    <xf numFmtId="0" fontId="19" fillId="0" borderId="4" xfId="0" applyFont="1" applyBorder="1" applyAlignment="1">
      <alignment vertical="top"/>
    </xf>
    <xf numFmtId="0" fontId="14" fillId="0" borderId="4" xfId="0" applyFont="1" applyBorder="1" applyAlignment="1">
      <alignment vertical="top"/>
    </xf>
    <xf numFmtId="0" fontId="57" fillId="0" borderId="4" xfId="0" applyFont="1" applyBorder="1" applyAlignment="1">
      <alignment horizontal="left" vertical="top"/>
    </xf>
    <xf numFmtId="0" fontId="16" fillId="0" borderId="4" xfId="0" quotePrefix="1" applyFont="1"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11" fillId="0" borderId="4" xfId="4" quotePrefix="1" applyBorder="1" applyAlignment="1">
      <alignment vertical="center"/>
    </xf>
    <xf numFmtId="0" fontId="7" fillId="0" borderId="0" xfId="0" applyFont="1"/>
    <xf numFmtId="0" fontId="11" fillId="0" borderId="4" xfId="4" quotePrefix="1" applyBorder="1" applyAlignment="1">
      <alignment vertical="top"/>
    </xf>
    <xf numFmtId="0" fontId="7" fillId="0" borderId="5" xfId="0" applyFont="1" applyBorder="1"/>
    <xf numFmtId="0" fontId="7" fillId="0" borderId="5" xfId="0" applyFont="1" applyBorder="1" applyAlignment="1">
      <alignment vertical="center"/>
    </xf>
    <xf numFmtId="169" fontId="33" fillId="0" borderId="0" xfId="1" applyNumberFormat="1" applyFont="1" applyBorder="1" applyAlignment="1" applyProtection="1">
      <alignment horizontal="center" vertical="center"/>
      <protection locked="0"/>
    </xf>
    <xf numFmtId="3" fontId="1" fillId="0" borderId="0" xfId="3" applyNumberFormat="1" applyFont="1" applyBorder="1" applyAlignment="1" applyProtection="1">
      <alignment horizontal="right" vertical="center"/>
      <protection locked="0"/>
    </xf>
    <xf numFmtId="0" fontId="0" fillId="16" borderId="0" xfId="0" applyFill="1" applyAlignment="1">
      <alignment horizontal="left"/>
    </xf>
    <xf numFmtId="0" fontId="70" fillId="0" borderId="0" xfId="0" applyFont="1" applyAlignment="1">
      <alignment wrapText="1"/>
    </xf>
    <xf numFmtId="0" fontId="70" fillId="0" borderId="0" xfId="0" applyFont="1" applyAlignment="1">
      <alignment horizontal="center" wrapText="1"/>
    </xf>
    <xf numFmtId="0" fontId="67" fillId="21" borderId="9" xfId="0" applyFont="1" applyFill="1" applyBorder="1" applyAlignment="1">
      <alignment horizontal="center" vertical="center" wrapText="1"/>
    </xf>
    <xf numFmtId="0" fontId="67" fillId="21" borderId="9" xfId="0" applyFont="1" applyFill="1" applyBorder="1" applyAlignment="1">
      <alignment horizontal="left" vertical="center" wrapText="1"/>
    </xf>
    <xf numFmtId="4" fontId="38" fillId="0" borderId="23" xfId="0" applyNumberFormat="1" applyFont="1" applyBorder="1" applyAlignment="1" applyProtection="1">
      <alignment horizontal="center" vertical="center"/>
      <protection locked="0"/>
    </xf>
    <xf numFmtId="0" fontId="6" fillId="23" borderId="0" xfId="0" applyFont="1" applyFill="1" applyAlignment="1">
      <alignment vertical="center"/>
    </xf>
    <xf numFmtId="0" fontId="13" fillId="23" borderId="0" xfId="0" applyFont="1" applyFill="1" applyAlignment="1">
      <alignment vertical="center"/>
    </xf>
    <xf numFmtId="0" fontId="14" fillId="23" borderId="0" xfId="0" applyFont="1" applyFill="1" applyAlignment="1">
      <alignment vertical="center"/>
    </xf>
    <xf numFmtId="0" fontId="72" fillId="0" borderId="9" xfId="0" applyFont="1" applyBorder="1" applyAlignment="1">
      <alignment horizontal="left" vertical="center" wrapText="1"/>
    </xf>
    <xf numFmtId="0" fontId="72" fillId="21" borderId="9" xfId="0" applyFont="1" applyFill="1" applyBorder="1" applyAlignment="1">
      <alignment horizontal="left" vertical="center" wrapText="1"/>
    </xf>
    <xf numFmtId="0" fontId="6" fillId="24" borderId="0" xfId="0" applyFont="1" applyFill="1" applyAlignment="1">
      <alignment vertical="center"/>
    </xf>
    <xf numFmtId="0" fontId="14" fillId="24" borderId="0" xfId="0" applyFont="1" applyFill="1" applyAlignment="1">
      <alignment vertical="center"/>
    </xf>
    <xf numFmtId="165" fontId="62" fillId="0" borderId="23" xfId="3" applyNumberFormat="1" applyFont="1" applyBorder="1" applyAlignment="1" applyProtection="1">
      <alignment horizontal="right" vertical="center"/>
      <protection locked="0"/>
    </xf>
    <xf numFmtId="0" fontId="54" fillId="0" borderId="11" xfId="0" applyFont="1" applyBorder="1" applyAlignment="1" applyProtection="1">
      <alignment vertical="center"/>
      <protection locked="0"/>
    </xf>
    <xf numFmtId="165" fontId="33" fillId="0" borderId="23" xfId="2" applyNumberFormat="1" applyFont="1" applyBorder="1" applyAlignment="1" applyProtection="1">
      <alignment horizontal="right" vertical="center"/>
      <protection locked="0"/>
    </xf>
    <xf numFmtId="165" fontId="33" fillId="0" borderId="26" xfId="2" applyNumberFormat="1" applyFont="1" applyFill="1" applyBorder="1" applyAlignment="1" applyProtection="1">
      <alignment horizontal="right" vertical="center"/>
      <protection locked="0"/>
    </xf>
    <xf numFmtId="165" fontId="33" fillId="0" borderId="23" xfId="2" applyNumberFormat="1" applyFont="1" applyFill="1" applyBorder="1" applyAlignment="1" applyProtection="1">
      <alignment horizontal="right" vertical="center"/>
      <protection locked="0"/>
    </xf>
    <xf numFmtId="0" fontId="28" fillId="0" borderId="24" xfId="0" applyFont="1" applyBorder="1" applyAlignment="1" applyProtection="1">
      <alignment vertical="center"/>
      <protection locked="0"/>
    </xf>
    <xf numFmtId="0" fontId="28" fillId="0" borderId="27" xfId="0" applyFont="1" applyBorder="1" applyAlignment="1" applyProtection="1">
      <alignment vertical="center"/>
      <protection locked="0"/>
    </xf>
    <xf numFmtId="0" fontId="28" fillId="0" borderId="27" xfId="0" applyFont="1" applyBorder="1" applyAlignment="1" applyProtection="1">
      <alignment vertical="center" wrapText="1"/>
      <protection locked="0"/>
    </xf>
    <xf numFmtId="0" fontId="28" fillId="0" borderId="0" xfId="0" applyFont="1" applyAlignment="1" applyProtection="1">
      <alignment vertical="center"/>
      <protection locked="0"/>
    </xf>
    <xf numFmtId="166" fontId="33" fillId="0" borderId="23" xfId="2" applyNumberFormat="1" applyFont="1" applyBorder="1" applyAlignment="1" applyProtection="1">
      <alignment horizontal="right" vertical="center"/>
      <protection locked="0"/>
    </xf>
    <xf numFmtId="9" fontId="40" fillId="0" borderId="0" xfId="3" applyFont="1" applyFill="1" applyBorder="1" applyAlignment="1" applyProtection="1">
      <alignment horizontal="left" vertical="center"/>
      <protection locked="0"/>
    </xf>
    <xf numFmtId="9" fontId="63" fillId="0" borderId="0" xfId="3" applyFont="1" applyFill="1" applyBorder="1" applyAlignment="1" applyProtection="1">
      <alignment horizontal="left" vertical="center"/>
      <protection locked="0"/>
    </xf>
    <xf numFmtId="0" fontId="3" fillId="0" borderId="0" xfId="0" applyFont="1" applyAlignment="1" applyProtection="1">
      <alignment vertical="center"/>
      <protection locked="0"/>
    </xf>
    <xf numFmtId="0" fontId="6" fillId="0" borderId="4" xfId="0" quotePrefix="1" applyFont="1" applyBorder="1" applyAlignment="1">
      <alignment horizontal="left" vertical="top"/>
    </xf>
    <xf numFmtId="0" fontId="68" fillId="7" borderId="32" xfId="0" applyFont="1" applyFill="1" applyBorder="1" applyAlignment="1">
      <alignment horizontal="center" vertical="center" wrapText="1"/>
    </xf>
    <xf numFmtId="0" fontId="68" fillId="7" borderId="32" xfId="0" applyFont="1" applyFill="1" applyBorder="1" applyAlignment="1">
      <alignment horizontal="left" vertical="center" wrapText="1"/>
    </xf>
    <xf numFmtId="3" fontId="68" fillId="7" borderId="32" xfId="0" applyNumberFormat="1" applyFont="1" applyFill="1" applyBorder="1" applyAlignment="1">
      <alignment horizontal="center" vertical="center" wrapText="1"/>
    </xf>
    <xf numFmtId="0" fontId="69" fillId="16" borderId="32" xfId="0" applyFont="1" applyFill="1" applyBorder="1" applyAlignment="1">
      <alignment horizontal="center" vertical="center" wrapText="1"/>
    </xf>
    <xf numFmtId="0" fontId="69" fillId="16" borderId="32" xfId="0" applyFont="1" applyFill="1" applyBorder="1" applyAlignment="1">
      <alignment horizontal="left" vertical="center" wrapText="1"/>
    </xf>
    <xf numFmtId="3" fontId="69" fillId="16" borderId="32" xfId="0" applyNumberFormat="1" applyFont="1" applyFill="1" applyBorder="1" applyAlignment="1">
      <alignment horizontal="center" vertical="center" wrapText="1"/>
    </xf>
    <xf numFmtId="0" fontId="67" fillId="16" borderId="32" xfId="0" applyFont="1" applyFill="1" applyBorder="1" applyAlignment="1">
      <alignment horizontal="center" vertical="center" wrapText="1"/>
    </xf>
    <xf numFmtId="0" fontId="67" fillId="16" borderId="32" xfId="0" applyFont="1" applyFill="1" applyBorder="1" applyAlignment="1">
      <alignment horizontal="left" vertical="center" wrapText="1"/>
    </xf>
    <xf numFmtId="3" fontId="67" fillId="16" borderId="32" xfId="0" applyNumberFormat="1" applyFont="1" applyFill="1" applyBorder="1" applyAlignment="1">
      <alignment horizontal="center" vertical="center" wrapText="1"/>
    </xf>
    <xf numFmtId="0" fontId="68" fillId="9" borderId="32" xfId="0" applyFont="1" applyFill="1" applyBorder="1" applyAlignment="1">
      <alignment horizontal="center" vertical="center" wrapText="1"/>
    </xf>
    <xf numFmtId="0" fontId="68" fillId="9" borderId="32" xfId="0" applyFont="1" applyFill="1" applyBorder="1" applyAlignment="1">
      <alignment horizontal="left" vertical="center" wrapText="1"/>
    </xf>
    <xf numFmtId="3" fontId="68" fillId="9" borderId="32" xfId="0" applyNumberFormat="1" applyFont="1" applyFill="1" applyBorder="1" applyAlignment="1">
      <alignment horizontal="center" vertical="center" wrapText="1"/>
    </xf>
    <xf numFmtId="0" fontId="67" fillId="17" borderId="32" xfId="0" applyFont="1" applyFill="1" applyBorder="1" applyAlignment="1">
      <alignment horizontal="center" vertical="center" wrapText="1"/>
    </xf>
    <xf numFmtId="0" fontId="67" fillId="17" borderId="32" xfId="0" applyFont="1" applyFill="1" applyBorder="1" applyAlignment="1">
      <alignment horizontal="left" vertical="center" wrapText="1"/>
    </xf>
    <xf numFmtId="3" fontId="67" fillId="17" borderId="32" xfId="0" applyNumberFormat="1" applyFont="1" applyFill="1" applyBorder="1" applyAlignment="1">
      <alignment horizontal="center" vertical="center" wrapText="1"/>
    </xf>
    <xf numFmtId="0" fontId="68" fillId="18" borderId="32" xfId="0" applyFont="1" applyFill="1" applyBorder="1" applyAlignment="1">
      <alignment horizontal="center" vertical="center" wrapText="1"/>
    </xf>
    <xf numFmtId="0" fontId="68" fillId="18" borderId="32" xfId="0" applyFont="1" applyFill="1" applyBorder="1" applyAlignment="1">
      <alignment horizontal="left" vertical="center" wrapText="1"/>
    </xf>
    <xf numFmtId="3" fontId="68" fillId="18" borderId="32" xfId="0" applyNumberFormat="1" applyFont="1" applyFill="1" applyBorder="1" applyAlignment="1">
      <alignment horizontal="center" vertical="center" wrapText="1"/>
    </xf>
    <xf numFmtId="0" fontId="67" fillId="25" borderId="32" xfId="0" applyFont="1" applyFill="1" applyBorder="1" applyAlignment="1">
      <alignment horizontal="center" vertical="center" wrapText="1"/>
    </xf>
    <xf numFmtId="0" fontId="67" fillId="25" borderId="32" xfId="0" applyFont="1" applyFill="1" applyBorder="1" applyAlignment="1">
      <alignment horizontal="left" vertical="center" wrapText="1"/>
    </xf>
    <xf numFmtId="3" fontId="67" fillId="25" borderId="32" xfId="0" applyNumberFormat="1" applyFont="1" applyFill="1" applyBorder="1" applyAlignment="1">
      <alignment horizontal="center" vertical="center" wrapText="1"/>
    </xf>
    <xf numFmtId="0" fontId="69" fillId="25" borderId="32" xfId="0" applyFont="1" applyFill="1" applyBorder="1" applyAlignment="1">
      <alignment horizontal="center" vertical="center" wrapText="1"/>
    </xf>
    <xf numFmtId="0" fontId="69" fillId="25" borderId="32" xfId="0" applyFont="1" applyFill="1" applyBorder="1" applyAlignment="1">
      <alignment horizontal="left" vertical="center" wrapText="1"/>
    </xf>
    <xf numFmtId="3" fontId="69" fillId="25" borderId="32" xfId="0" applyNumberFormat="1" applyFont="1" applyFill="1" applyBorder="1" applyAlignment="1">
      <alignment horizontal="center" vertical="center" wrapText="1"/>
    </xf>
    <xf numFmtId="4" fontId="67" fillId="16" borderId="32" xfId="0" applyNumberFormat="1" applyFont="1" applyFill="1" applyBorder="1" applyAlignment="1">
      <alignment horizontal="center" vertical="center" wrapText="1"/>
    </xf>
    <xf numFmtId="0" fontId="69" fillId="10" borderId="32" xfId="0" applyFont="1" applyFill="1" applyBorder="1" applyAlignment="1">
      <alignment horizontal="center" vertical="center" wrapText="1"/>
    </xf>
    <xf numFmtId="0" fontId="69" fillId="10" borderId="32" xfId="0" applyFont="1" applyFill="1" applyBorder="1" applyAlignment="1">
      <alignment horizontal="left" vertical="center" wrapText="1"/>
    </xf>
    <xf numFmtId="4" fontId="69" fillId="10" borderId="32" xfId="0" applyNumberFormat="1" applyFont="1" applyFill="1" applyBorder="1" applyAlignment="1">
      <alignment horizontal="center" vertical="center" wrapText="1"/>
    </xf>
    <xf numFmtId="0" fontId="69" fillId="13" borderId="32" xfId="0" applyFont="1" applyFill="1" applyBorder="1" applyAlignment="1">
      <alignment horizontal="center" vertical="center" wrapText="1"/>
    </xf>
    <xf numFmtId="0" fontId="69" fillId="13" borderId="32" xfId="0" applyFont="1" applyFill="1" applyBorder="1" applyAlignment="1">
      <alignment horizontal="left" vertical="center" wrapText="1"/>
    </xf>
    <xf numFmtId="4" fontId="69" fillId="13" borderId="32" xfId="0" applyNumberFormat="1" applyFont="1" applyFill="1" applyBorder="1" applyAlignment="1">
      <alignment horizontal="center" vertical="center" wrapText="1"/>
    </xf>
    <xf numFmtId="0" fontId="69" fillId="19" borderId="32" xfId="0" applyFont="1" applyFill="1" applyBorder="1" applyAlignment="1">
      <alignment horizontal="center" vertical="center" wrapText="1"/>
    </xf>
    <xf numFmtId="0" fontId="69" fillId="19" borderId="32" xfId="0" applyFont="1" applyFill="1" applyBorder="1" applyAlignment="1">
      <alignment horizontal="left" vertical="center" wrapText="1"/>
    </xf>
    <xf numFmtId="4" fontId="69" fillId="19" borderId="32" xfId="0" applyNumberFormat="1" applyFont="1" applyFill="1" applyBorder="1" applyAlignment="1">
      <alignment horizontal="center" vertical="center" wrapText="1"/>
    </xf>
    <xf numFmtId="0" fontId="69" fillId="11" borderId="32" xfId="0" applyFont="1" applyFill="1" applyBorder="1" applyAlignment="1">
      <alignment horizontal="center" vertical="center" wrapText="1"/>
    </xf>
    <xf numFmtId="0" fontId="69" fillId="11" borderId="32" xfId="0" applyFont="1" applyFill="1" applyBorder="1" applyAlignment="1">
      <alignment horizontal="left" vertical="center" wrapText="1"/>
    </xf>
    <xf numFmtId="4" fontId="69" fillId="11" borderId="32" xfId="0" applyNumberFormat="1" applyFont="1" applyFill="1" applyBorder="1" applyAlignment="1">
      <alignment horizontal="center" vertical="center" wrapText="1"/>
    </xf>
    <xf numFmtId="0" fontId="69" fillId="20" borderId="32" xfId="0" applyFont="1" applyFill="1" applyBorder="1" applyAlignment="1">
      <alignment horizontal="center" vertical="center" wrapText="1"/>
    </xf>
    <xf numFmtId="0" fontId="69" fillId="20" borderId="32" xfId="0" applyFont="1" applyFill="1" applyBorder="1" applyAlignment="1">
      <alignment horizontal="left" vertical="center" wrapText="1"/>
    </xf>
    <xf numFmtId="4" fontId="69" fillId="20" borderId="32" xfId="0" applyNumberFormat="1" applyFont="1" applyFill="1" applyBorder="1" applyAlignment="1">
      <alignment horizontal="center" vertical="center" wrapText="1"/>
    </xf>
    <xf numFmtId="0" fontId="71" fillId="22" borderId="32" xfId="0" applyFont="1" applyFill="1" applyBorder="1" applyAlignment="1">
      <alignment horizontal="center" vertical="center" wrapText="1"/>
    </xf>
    <xf numFmtId="0" fontId="71" fillId="22" borderId="32" xfId="0" applyFont="1" applyFill="1" applyBorder="1" applyAlignment="1">
      <alignment horizontal="left" vertical="center" wrapText="1"/>
    </xf>
    <xf numFmtId="3" fontId="71" fillId="22" borderId="32" xfId="0" applyNumberFormat="1" applyFont="1" applyFill="1" applyBorder="1" applyAlignment="1">
      <alignment horizontal="center" vertical="center" wrapText="1"/>
    </xf>
    <xf numFmtId="0" fontId="69" fillId="16" borderId="33" xfId="0" applyFont="1" applyFill="1" applyBorder="1" applyAlignment="1">
      <alignment horizontal="left" vertical="center" wrapText="1"/>
    </xf>
    <xf numFmtId="0" fontId="67" fillId="16" borderId="33" xfId="0" applyFont="1" applyFill="1" applyBorder="1" applyAlignment="1">
      <alignment horizontal="left" vertical="center" wrapText="1"/>
    </xf>
    <xf numFmtId="165" fontId="38" fillId="0" borderId="26" xfId="2" applyNumberFormat="1" applyFont="1" applyBorder="1" applyAlignment="1" applyProtection="1">
      <alignment horizontal="right" vertical="center"/>
      <protection locked="0"/>
    </xf>
    <xf numFmtId="165" fontId="1" fillId="0" borderId="0" xfId="3" applyNumberFormat="1" applyFont="1" applyBorder="1" applyAlignment="1" applyProtection="1">
      <alignment horizontal="right" vertical="center"/>
      <protection locked="0"/>
    </xf>
    <xf numFmtId="166" fontId="0" fillId="0" borderId="0" xfId="0" applyNumberFormat="1" applyAlignment="1" applyProtection="1">
      <alignment vertical="center"/>
      <protection locked="0"/>
    </xf>
    <xf numFmtId="0" fontId="0" fillId="0" borderId="11" xfId="0" applyBorder="1" applyAlignment="1" applyProtection="1">
      <alignment vertical="center"/>
      <protection locked="0"/>
    </xf>
    <xf numFmtId="0" fontId="75" fillId="0" borderId="0" xfId="0" applyFont="1" applyAlignment="1">
      <alignment horizontal="center" vertical="center" readingOrder="1"/>
    </xf>
    <xf numFmtId="170" fontId="6" fillId="0" borderId="0" xfId="0" applyNumberFormat="1" applyFont="1" applyAlignment="1">
      <alignment vertical="center"/>
    </xf>
    <xf numFmtId="171" fontId="28" fillId="0" borderId="0" xfId="2" applyNumberFormat="1" applyFont="1" applyBorder="1" applyAlignment="1" applyProtection="1">
      <alignment horizontal="center" vertical="center"/>
      <protection locked="0"/>
    </xf>
    <xf numFmtId="166" fontId="48" fillId="0" borderId="23" xfId="3" applyNumberFormat="1" applyFont="1" applyFill="1" applyBorder="1" applyAlignment="1" applyProtection="1">
      <alignment horizontal="right" vertical="center"/>
      <protection locked="0"/>
    </xf>
    <xf numFmtId="0" fontId="19" fillId="0" borderId="4" xfId="0" quotePrefix="1" applyFont="1" applyBorder="1" applyAlignment="1">
      <alignment vertical="top" wrapText="1"/>
    </xf>
    <xf numFmtId="0" fontId="57" fillId="0" borderId="0" xfId="0" quotePrefix="1" applyFont="1" applyAlignment="1">
      <alignment vertical="top" wrapText="1"/>
    </xf>
    <xf numFmtId="0" fontId="57" fillId="0" borderId="5" xfId="0" quotePrefix="1" applyFont="1" applyBorder="1" applyAlignment="1">
      <alignment vertical="top" wrapText="1"/>
    </xf>
    <xf numFmtId="0" fontId="57" fillId="0" borderId="4" xfId="0" quotePrefix="1" applyFont="1" applyBorder="1" applyAlignment="1">
      <alignment vertical="top" wrapText="1"/>
    </xf>
    <xf numFmtId="0" fontId="57" fillId="0" borderId="6" xfId="0" quotePrefix="1" applyFont="1" applyBorder="1" applyAlignment="1">
      <alignment vertical="top" wrapText="1"/>
    </xf>
    <xf numFmtId="0" fontId="57" fillId="0" borderId="7" xfId="0" quotePrefix="1" applyFont="1" applyBorder="1" applyAlignment="1">
      <alignment vertical="top" wrapText="1"/>
    </xf>
    <xf numFmtId="0" fontId="57" fillId="0" borderId="8" xfId="0" quotePrefix="1" applyFont="1" applyBorder="1" applyAlignment="1">
      <alignment vertical="top" wrapText="1"/>
    </xf>
    <xf numFmtId="0" fontId="6" fillId="0" borderId="4" xfId="0" applyFont="1" applyBorder="1" applyAlignment="1">
      <alignment horizontal="left" vertical="top" wrapText="1"/>
    </xf>
    <xf numFmtId="0" fontId="6" fillId="0" borderId="0" xfId="0" applyFont="1" applyAlignment="1">
      <alignment horizontal="left" vertical="top" wrapText="1"/>
    </xf>
    <xf numFmtId="0" fontId="6" fillId="0" borderId="5" xfId="0" applyFont="1" applyBorder="1" applyAlignment="1">
      <alignment horizontal="left" vertical="top" wrapText="1"/>
    </xf>
    <xf numFmtId="0" fontId="19" fillId="0" borderId="4" xfId="0" quotePrefix="1" applyFont="1" applyBorder="1" applyAlignment="1">
      <alignment horizontal="left" vertical="top" wrapText="1"/>
    </xf>
    <xf numFmtId="0" fontId="19" fillId="0" borderId="0" xfId="0" quotePrefix="1" applyFont="1" applyAlignment="1">
      <alignment horizontal="left" vertical="top" wrapText="1"/>
    </xf>
    <xf numFmtId="0" fontId="19" fillId="0" borderId="5" xfId="0" quotePrefix="1" applyFont="1" applyBorder="1" applyAlignment="1">
      <alignment horizontal="left" vertical="top" wrapText="1"/>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2" borderId="0" xfId="0" applyFont="1" applyFill="1" applyAlignment="1">
      <alignment horizontal="center" vertical="center" wrapText="1"/>
    </xf>
    <xf numFmtId="0" fontId="6" fillId="0" borderId="4" xfId="0" applyFont="1" applyBorder="1" applyAlignment="1">
      <alignment horizontal="justify" vertical="top" wrapText="1"/>
    </xf>
    <xf numFmtId="0" fontId="6" fillId="0" borderId="0" xfId="0" applyFont="1" applyAlignment="1">
      <alignment horizontal="justify" vertical="top" wrapText="1"/>
    </xf>
    <xf numFmtId="0" fontId="6" fillId="0" borderId="5" xfId="0" applyFont="1" applyBorder="1" applyAlignment="1">
      <alignment horizontal="justify" vertical="top" wrapText="1"/>
    </xf>
    <xf numFmtId="0" fontId="6" fillId="0" borderId="6" xfId="0" applyFont="1" applyBorder="1" applyAlignment="1">
      <alignment horizontal="justify" vertical="top" wrapText="1"/>
    </xf>
    <xf numFmtId="0" fontId="6" fillId="0" borderId="7" xfId="0" applyFont="1" applyBorder="1" applyAlignment="1">
      <alignment horizontal="justify" vertical="top" wrapText="1"/>
    </xf>
    <xf numFmtId="0" fontId="6" fillId="0" borderId="8" xfId="0" applyFont="1" applyBorder="1" applyAlignment="1">
      <alignment horizontal="justify" vertical="top" wrapText="1"/>
    </xf>
    <xf numFmtId="0" fontId="0" fillId="4" borderId="0" xfId="0" applyFill="1" applyAlignment="1">
      <alignment horizontal="left" vertical="center" wrapText="1"/>
    </xf>
    <xf numFmtId="0" fontId="0" fillId="4" borderId="5" xfId="0" applyFill="1" applyBorder="1" applyAlignment="1">
      <alignment horizontal="left" vertical="center" wrapText="1"/>
    </xf>
    <xf numFmtId="0" fontId="19" fillId="0" borderId="4" xfId="0" applyFont="1" applyBorder="1" applyAlignment="1">
      <alignment horizontal="left" vertical="top" wrapText="1"/>
    </xf>
    <xf numFmtId="0" fontId="19" fillId="0" borderId="0" xfId="0" applyFont="1" applyAlignment="1">
      <alignment horizontal="left" vertical="top" wrapText="1"/>
    </xf>
    <xf numFmtId="0" fontId="19" fillId="0" borderId="5" xfId="0" applyFont="1" applyBorder="1" applyAlignment="1">
      <alignment horizontal="left" vertical="top" wrapText="1"/>
    </xf>
    <xf numFmtId="0" fontId="6" fillId="0" borderId="4" xfId="0" quotePrefix="1" applyFont="1" applyBorder="1" applyAlignment="1">
      <alignment horizontal="justify" vertical="top" wrapText="1"/>
    </xf>
    <xf numFmtId="0" fontId="19" fillId="0" borderId="4" xfId="0" quotePrefix="1" applyFont="1" applyBorder="1" applyAlignment="1">
      <alignment horizontal="justify" vertical="top" wrapText="1"/>
    </xf>
    <xf numFmtId="0" fontId="19" fillId="0" borderId="0" xfId="0" applyFont="1" applyAlignment="1">
      <alignment horizontal="justify" vertical="top" wrapText="1"/>
    </xf>
    <xf numFmtId="0" fontId="19" fillId="0" borderId="5" xfId="0" applyFont="1" applyBorder="1" applyAlignment="1">
      <alignment horizontal="justify" vertical="top" wrapText="1"/>
    </xf>
    <xf numFmtId="0" fontId="6" fillId="0" borderId="4" xfId="0" applyFont="1" applyBorder="1" applyAlignment="1">
      <alignment horizontal="left" vertical="top"/>
    </xf>
    <xf numFmtId="0" fontId="23" fillId="0" borderId="0" xfId="0" applyFont="1" applyAlignment="1">
      <alignment horizontal="left" vertical="top"/>
    </xf>
    <xf numFmtId="0" fontId="23" fillId="0" borderId="5" xfId="0" applyFont="1" applyBorder="1" applyAlignment="1">
      <alignment horizontal="left" vertical="top"/>
    </xf>
    <xf numFmtId="0" fontId="16" fillId="0" borderId="4" xfId="0" quotePrefix="1" applyFont="1" applyBorder="1" applyAlignment="1">
      <alignment horizontal="left" vertical="top" wrapText="1"/>
    </xf>
    <xf numFmtId="0" fontId="16" fillId="0" borderId="0" xfId="0" quotePrefix="1" applyFont="1" applyAlignment="1">
      <alignment horizontal="left" vertical="top" wrapText="1"/>
    </xf>
    <xf numFmtId="0" fontId="16" fillId="0" borderId="5" xfId="0" quotePrefix="1" applyFont="1" applyBorder="1" applyAlignment="1">
      <alignment horizontal="left" vertical="top" wrapText="1"/>
    </xf>
    <xf numFmtId="0" fontId="20" fillId="0" borderId="4" xfId="0" applyFont="1" applyBorder="1" applyAlignment="1">
      <alignment horizontal="left" wrapText="1"/>
    </xf>
    <xf numFmtId="0" fontId="20" fillId="0" borderId="0" xfId="0" applyFont="1" applyAlignment="1">
      <alignment horizontal="left" wrapText="1"/>
    </xf>
    <xf numFmtId="0" fontId="20" fillId="0" borderId="5" xfId="0" applyFont="1" applyBorder="1" applyAlignment="1">
      <alignment horizontal="left" wrapText="1"/>
    </xf>
    <xf numFmtId="0" fontId="0" fillId="0" borderId="0" xfId="0" applyAlignment="1">
      <alignment horizontal="center" vertical="center" wrapText="1"/>
    </xf>
    <xf numFmtId="0" fontId="6" fillId="0" borderId="0" xfId="0" quotePrefix="1" applyFont="1" applyAlignment="1">
      <alignment horizontal="justify" vertical="top" wrapText="1"/>
    </xf>
    <xf numFmtId="0" fontId="6" fillId="0" borderId="5" xfId="0" quotePrefix="1" applyFont="1" applyBorder="1" applyAlignment="1">
      <alignment horizontal="justify" vertical="top" wrapText="1"/>
    </xf>
    <xf numFmtId="0" fontId="25" fillId="12" borderId="10" xfId="0" applyFont="1" applyFill="1" applyBorder="1" applyAlignment="1" applyProtection="1">
      <alignment horizontal="center" vertical="center" wrapText="1"/>
      <protection locked="0"/>
    </xf>
    <xf numFmtId="0" fontId="25" fillId="12" borderId="11" xfId="0" applyFont="1" applyFill="1" applyBorder="1" applyAlignment="1" applyProtection="1">
      <alignment horizontal="center" vertical="center" wrapText="1"/>
      <protection locked="0"/>
    </xf>
    <xf numFmtId="0" fontId="25" fillId="15" borderId="10" xfId="0" applyFont="1" applyFill="1" applyBorder="1" applyAlignment="1" applyProtection="1">
      <alignment horizontal="center" vertical="center" wrapText="1"/>
      <protection locked="0"/>
    </xf>
    <xf numFmtId="0" fontId="25" fillId="15" borderId="11" xfId="0" applyFont="1" applyFill="1" applyBorder="1" applyAlignment="1" applyProtection="1">
      <alignment horizontal="center" vertical="center" wrapText="1"/>
      <protection locked="0"/>
    </xf>
    <xf numFmtId="0" fontId="26" fillId="5" borderId="12" xfId="0" applyFont="1" applyFill="1" applyBorder="1" applyAlignment="1" applyProtection="1">
      <alignment horizontal="center" vertical="center" wrapText="1"/>
      <protection locked="0"/>
    </xf>
    <xf numFmtId="0" fontId="26" fillId="5" borderId="13" xfId="0" applyFont="1" applyFill="1" applyBorder="1" applyAlignment="1" applyProtection="1">
      <alignment horizontal="center" vertical="center" wrapText="1"/>
      <protection locked="0"/>
    </xf>
    <xf numFmtId="0" fontId="26" fillId="5" borderId="14" xfId="0" applyFont="1" applyFill="1" applyBorder="1" applyAlignment="1" applyProtection="1">
      <alignment horizontal="center" vertical="center" wrapText="1"/>
      <protection locked="0"/>
    </xf>
    <xf numFmtId="0" fontId="26" fillId="5" borderId="15" xfId="0" applyFont="1" applyFill="1" applyBorder="1" applyAlignment="1" applyProtection="1">
      <alignment horizontal="center" vertical="center" wrapText="1"/>
      <protection locked="0"/>
    </xf>
    <xf numFmtId="0" fontId="26" fillId="5" borderId="0" xfId="0" applyFont="1" applyFill="1" applyAlignment="1" applyProtection="1">
      <alignment horizontal="center" vertical="center" wrapText="1"/>
      <protection locked="0"/>
    </xf>
    <xf numFmtId="0" fontId="26" fillId="5" borderId="16" xfId="0" applyFont="1" applyFill="1" applyBorder="1" applyAlignment="1" applyProtection="1">
      <alignment horizontal="center" vertical="center" wrapText="1"/>
      <protection locked="0"/>
    </xf>
    <xf numFmtId="0" fontId="26" fillId="5" borderId="17" xfId="0" applyFont="1" applyFill="1" applyBorder="1" applyAlignment="1" applyProtection="1">
      <alignment horizontal="center" vertical="center" wrapText="1"/>
      <protection locked="0"/>
    </xf>
    <xf numFmtId="0" fontId="26" fillId="5" borderId="18" xfId="0" applyFont="1" applyFill="1" applyBorder="1" applyAlignment="1" applyProtection="1">
      <alignment horizontal="center" vertical="center" wrapText="1"/>
      <protection locked="0"/>
    </xf>
    <xf numFmtId="0" fontId="26" fillId="5" borderId="19" xfId="0" applyFont="1" applyFill="1" applyBorder="1" applyAlignment="1" applyProtection="1">
      <alignment horizontal="center" vertical="center" wrapText="1"/>
      <protection locked="0"/>
    </xf>
    <xf numFmtId="0" fontId="26" fillId="13" borderId="20" xfId="0" applyFont="1" applyFill="1" applyBorder="1" applyAlignment="1" applyProtection="1">
      <alignment horizontal="center" vertical="center" wrapText="1"/>
      <protection locked="0"/>
    </xf>
    <xf numFmtId="0" fontId="26" fillId="13" borderId="21" xfId="0" applyFont="1" applyFill="1" applyBorder="1" applyAlignment="1" applyProtection="1">
      <alignment horizontal="center" vertical="center" wrapText="1"/>
      <protection locked="0"/>
    </xf>
    <xf numFmtId="0" fontId="26" fillId="13" borderId="22" xfId="0" applyFont="1" applyFill="1" applyBorder="1" applyAlignment="1" applyProtection="1">
      <alignment horizontal="center" vertical="center" wrapText="1"/>
      <protection locked="0"/>
    </xf>
    <xf numFmtId="0" fontId="28" fillId="0" borderId="20" xfId="0" applyFont="1" applyBorder="1" applyAlignment="1" applyProtection="1">
      <alignment horizontal="center" vertical="center" wrapText="1"/>
      <protection locked="0"/>
    </xf>
    <xf numFmtId="0" fontId="28" fillId="0" borderId="21" xfId="0" applyFont="1" applyBorder="1" applyAlignment="1" applyProtection="1">
      <alignment horizontal="center" vertical="center" wrapText="1"/>
      <protection locked="0"/>
    </xf>
    <xf numFmtId="0" fontId="28" fillId="0" borderId="22" xfId="0" applyFont="1" applyBorder="1" applyAlignment="1" applyProtection="1">
      <alignment horizontal="center" vertical="center" wrapText="1"/>
      <protection locked="0"/>
    </xf>
    <xf numFmtId="3" fontId="33" fillId="0" borderId="20" xfId="0" applyNumberFormat="1" applyFont="1" applyBorder="1" applyAlignment="1" applyProtection="1">
      <alignment horizontal="center" vertical="center"/>
      <protection locked="0"/>
    </xf>
    <xf numFmtId="3" fontId="33" fillId="0" borderId="21" xfId="0" applyNumberFormat="1" applyFont="1" applyBorder="1" applyAlignment="1" applyProtection="1">
      <alignment horizontal="center" vertical="center"/>
      <protection locked="0"/>
    </xf>
    <xf numFmtId="3" fontId="33" fillId="0" borderId="22" xfId="0" applyNumberFormat="1" applyFont="1" applyBorder="1" applyAlignment="1" applyProtection="1">
      <alignment horizontal="center" vertical="center"/>
      <protection locked="0"/>
    </xf>
    <xf numFmtId="0" fontId="30" fillId="0" borderId="20" xfId="0" applyFont="1" applyBorder="1" applyAlignment="1" applyProtection="1">
      <alignment horizontal="center" vertical="center"/>
      <protection locked="0"/>
    </xf>
    <xf numFmtId="0" fontId="30" fillId="0" borderId="21" xfId="0" applyFont="1" applyBorder="1" applyAlignment="1" applyProtection="1">
      <alignment horizontal="center" vertical="center"/>
      <protection locked="0"/>
    </xf>
    <xf numFmtId="0" fontId="30" fillId="0" borderId="22" xfId="0" applyFont="1" applyBorder="1" applyAlignment="1" applyProtection="1">
      <alignment horizontal="center" vertical="center"/>
      <protection locked="0"/>
    </xf>
    <xf numFmtId="171" fontId="28" fillId="0" borderId="20" xfId="2" applyNumberFormat="1" applyFont="1" applyBorder="1" applyAlignment="1" applyProtection="1">
      <alignment horizontal="center" vertical="center"/>
      <protection locked="0"/>
    </xf>
    <xf numFmtId="171" fontId="28" fillId="0" borderId="21" xfId="2" applyNumberFormat="1" applyFont="1" applyBorder="1" applyAlignment="1" applyProtection="1">
      <alignment horizontal="center" vertical="center"/>
      <protection locked="0"/>
    </xf>
    <xf numFmtId="171" fontId="28" fillId="0" borderId="22" xfId="2" applyNumberFormat="1" applyFont="1" applyBorder="1" applyAlignment="1" applyProtection="1">
      <alignment horizontal="center" vertical="center"/>
      <protection locked="0"/>
    </xf>
    <xf numFmtId="0" fontId="32" fillId="0" borderId="0" xfId="0" applyFont="1" applyAlignment="1" applyProtection="1">
      <alignment horizontal="right" vertical="center"/>
      <protection locked="0"/>
    </xf>
    <xf numFmtId="0" fontId="36" fillId="8" borderId="20" xfId="0" applyFont="1" applyFill="1" applyBorder="1" applyAlignment="1" applyProtection="1">
      <alignment horizontal="center" vertical="center"/>
      <protection locked="0"/>
    </xf>
    <xf numFmtId="0" fontId="36" fillId="8" borderId="21" xfId="0" applyFont="1" applyFill="1" applyBorder="1" applyAlignment="1" applyProtection="1">
      <alignment horizontal="center" vertical="center"/>
      <protection locked="0"/>
    </xf>
    <xf numFmtId="0" fontId="73" fillId="0" borderId="12" xfId="0" applyFont="1" applyBorder="1" applyAlignment="1" applyProtection="1">
      <alignment horizontal="left" vertical="top" wrapText="1"/>
      <protection locked="0"/>
    </xf>
    <xf numFmtId="0" fontId="73" fillId="0" borderId="13" xfId="0" applyFont="1" applyBorder="1" applyAlignment="1" applyProtection="1">
      <alignment horizontal="left" vertical="top"/>
      <protection locked="0"/>
    </xf>
    <xf numFmtId="0" fontId="73" fillId="0" borderId="14" xfId="0" applyFont="1" applyBorder="1" applyAlignment="1" applyProtection="1">
      <alignment horizontal="left" vertical="top"/>
      <protection locked="0"/>
    </xf>
    <xf numFmtId="0" fontId="73" fillId="0" borderId="15" xfId="0" applyFont="1" applyBorder="1" applyAlignment="1" applyProtection="1">
      <alignment horizontal="left" vertical="top"/>
      <protection locked="0"/>
    </xf>
    <xf numFmtId="0" fontId="73" fillId="0" borderId="0" xfId="0" applyFont="1" applyAlignment="1" applyProtection="1">
      <alignment horizontal="left" vertical="top"/>
      <protection locked="0"/>
    </xf>
    <xf numFmtId="0" fontId="73" fillId="0" borderId="16" xfId="0" applyFont="1" applyBorder="1" applyAlignment="1" applyProtection="1">
      <alignment horizontal="left" vertical="top"/>
      <protection locked="0"/>
    </xf>
    <xf numFmtId="0" fontId="73" fillId="0" borderId="17" xfId="0" applyFont="1" applyBorder="1" applyAlignment="1" applyProtection="1">
      <alignment horizontal="left" vertical="top"/>
      <protection locked="0"/>
    </xf>
    <xf numFmtId="0" fontId="73" fillId="0" borderId="18" xfId="0" applyFont="1" applyBorder="1" applyAlignment="1" applyProtection="1">
      <alignment horizontal="left" vertical="top"/>
      <protection locked="0"/>
    </xf>
    <xf numFmtId="0" fontId="73" fillId="0" borderId="19" xfId="0" applyFont="1" applyBorder="1" applyAlignment="1" applyProtection="1">
      <alignment horizontal="left" vertical="top"/>
      <protection locked="0"/>
    </xf>
    <xf numFmtId="0" fontId="28" fillId="0" borderId="26" xfId="0" applyFont="1" applyBorder="1" applyAlignment="1" applyProtection="1">
      <alignment horizontal="center" vertical="center" textRotation="90"/>
      <protection locked="0"/>
    </xf>
    <xf numFmtId="0" fontId="28" fillId="0" borderId="29" xfId="0" applyFont="1" applyBorder="1" applyAlignment="1" applyProtection="1">
      <alignment horizontal="center" vertical="center" textRotation="90"/>
      <protection locked="0"/>
    </xf>
    <xf numFmtId="0" fontId="28" fillId="0" borderId="31" xfId="0" applyFont="1" applyBorder="1" applyAlignment="1" applyProtection="1">
      <alignment horizontal="center" vertical="center" textRotation="90"/>
      <protection locked="0"/>
    </xf>
    <xf numFmtId="171" fontId="9" fillId="14" borderId="26" xfId="2" applyNumberFormat="1" applyFont="1" applyFill="1" applyBorder="1" applyAlignment="1" applyProtection="1">
      <alignment horizontal="center" vertical="center"/>
      <protection locked="0"/>
    </xf>
    <xf numFmtId="171" fontId="9" fillId="14" borderId="29" xfId="2" applyNumberFormat="1" applyFont="1" applyFill="1" applyBorder="1" applyAlignment="1" applyProtection="1">
      <alignment horizontal="center" vertical="center"/>
      <protection locked="0"/>
    </xf>
    <xf numFmtId="0" fontId="37" fillId="0" borderId="0" xfId="0" applyFont="1" applyAlignment="1" applyProtection="1">
      <alignment horizontal="center" vertical="center"/>
      <protection locked="0"/>
    </xf>
    <xf numFmtId="0" fontId="35" fillId="0" borderId="11" xfId="0" applyFont="1" applyBorder="1" applyAlignment="1">
      <alignment horizontal="center" vertical="center"/>
    </xf>
    <xf numFmtId="0" fontId="37" fillId="0" borderId="21" xfId="0" applyFont="1" applyBorder="1" applyAlignment="1" applyProtection="1">
      <alignment horizontal="center" vertical="center"/>
      <protection locked="0"/>
    </xf>
    <xf numFmtId="0" fontId="34" fillId="0" borderId="0" xfId="0" applyFont="1" applyAlignment="1">
      <alignment horizontal="left" vertical="center"/>
    </xf>
  </cellXfs>
  <cellStyles count="6">
    <cellStyle name="Lien hypertexte" xfId="4" builtinId="8"/>
    <cellStyle name="Milliers" xfId="1" builtinId="3"/>
    <cellStyle name="Monétaire" xfId="2" builtinId="4"/>
    <cellStyle name="Normal" xfId="0" builtinId="0"/>
    <cellStyle name="Normal 2" xfId="5" xr:uid="{00000000-0005-0000-0000-000004000000}"/>
    <cellStyle name="Pourcentage" xfId="3" builtinId="5"/>
  </cellStyles>
  <dxfs count="119">
    <dxf>
      <fill>
        <patternFill>
          <bgColor theme="9" tint="0.59996337778862885"/>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rgb="FFFF8205"/>
      </font>
    </dxf>
    <dxf>
      <font>
        <color theme="9" tint="-0.24994659260841701"/>
      </font>
    </dxf>
    <dxf>
      <font>
        <color theme="0"/>
      </font>
      <fill>
        <patternFill patternType="none">
          <bgColor auto="1"/>
        </patternFill>
      </fill>
      <border>
        <left/>
        <right/>
        <top/>
        <bottom/>
      </border>
    </dxf>
    <dxf>
      <font>
        <color rgb="FFFF8205"/>
      </font>
    </dxf>
    <dxf>
      <font>
        <color theme="9" tint="-0.24994659260841701"/>
      </font>
    </dxf>
    <dxf>
      <font>
        <color theme="0"/>
      </font>
      <fill>
        <patternFill patternType="none">
          <bgColor auto="1"/>
        </patternFill>
      </fill>
      <border>
        <left/>
        <right/>
        <top/>
        <bottom/>
      </border>
    </dxf>
    <dxf>
      <font>
        <color theme="0"/>
      </font>
    </dxf>
    <dxf>
      <font>
        <color theme="0"/>
      </font>
    </dxf>
    <dxf>
      <font>
        <color theme="0"/>
      </font>
    </dxf>
    <dxf>
      <font>
        <color theme="0"/>
      </font>
    </dxf>
    <dxf>
      <font>
        <color theme="0"/>
      </font>
    </dxf>
    <dxf>
      <font>
        <color theme="0"/>
      </font>
    </dxf>
    <dxf>
      <font>
        <color rgb="FFFF8205"/>
      </font>
    </dxf>
    <dxf>
      <font>
        <color theme="9" tint="-0.24994659260841701"/>
      </font>
    </dxf>
    <dxf>
      <font>
        <color theme="0"/>
      </font>
      <fill>
        <patternFill patternType="none">
          <bgColor auto="1"/>
        </patternFill>
      </fill>
      <border>
        <left/>
        <right/>
        <top/>
        <bottom/>
      </border>
    </dxf>
    <dxf>
      <font>
        <color rgb="FFFF8205"/>
      </font>
    </dxf>
    <dxf>
      <font>
        <color theme="9" tint="-0.24994659260841701"/>
      </font>
    </dxf>
    <dxf>
      <font>
        <color theme="0"/>
      </font>
      <fill>
        <patternFill patternType="none">
          <bgColor auto="1"/>
        </patternFill>
      </fill>
      <border>
        <left/>
        <right/>
        <top/>
        <bottom/>
      </border>
    </dxf>
    <dxf>
      <font>
        <color theme="0"/>
      </font>
    </dxf>
    <dxf>
      <font>
        <color theme="0"/>
      </font>
    </dxf>
    <dxf>
      <font>
        <color theme="0"/>
      </font>
    </dxf>
    <dxf>
      <font>
        <color theme="0"/>
      </font>
    </dxf>
    <dxf>
      <font>
        <color rgb="FFFF8205"/>
      </font>
    </dxf>
    <dxf>
      <font>
        <color theme="9" tint="-0.24994659260841701"/>
      </font>
    </dxf>
    <dxf>
      <font>
        <color rgb="FFFF8205"/>
      </font>
    </dxf>
    <dxf>
      <font>
        <color theme="9" tint="-0.24994659260841701"/>
      </font>
    </dxf>
    <dxf>
      <font>
        <color rgb="FFFF8205"/>
      </font>
    </dxf>
    <dxf>
      <font>
        <color theme="9" tint="-0.24994659260841701"/>
      </font>
    </dxf>
    <dxf>
      <font>
        <color theme="0"/>
      </font>
      <fill>
        <patternFill patternType="none">
          <bgColor auto="1"/>
        </patternFill>
      </fill>
      <border>
        <left/>
        <right/>
        <top/>
        <bottom/>
      </border>
    </dxf>
    <dxf>
      <font>
        <color rgb="FFFF8205"/>
      </font>
    </dxf>
    <dxf>
      <font>
        <color theme="9" tint="-0.24994659260841701"/>
      </font>
    </dxf>
    <dxf>
      <font>
        <color theme="0"/>
      </font>
      <fill>
        <patternFill patternType="none">
          <bgColor auto="1"/>
        </patternFill>
      </fill>
      <border>
        <left/>
        <right/>
        <top/>
        <bottom/>
      </border>
    </dxf>
    <dxf>
      <font>
        <color theme="0"/>
      </font>
    </dxf>
    <dxf>
      <font>
        <color theme="0"/>
      </font>
    </dxf>
    <dxf>
      <font>
        <color theme="0"/>
      </font>
    </dxf>
    <dxf>
      <font>
        <color rgb="FFFF0000"/>
      </font>
      <border>
        <left style="thin">
          <color rgb="FFFF0000"/>
        </left>
        <right style="thin">
          <color rgb="FFFF0000"/>
        </right>
        <top style="thin">
          <color rgb="FFFF0000"/>
        </top>
        <bottom style="thin">
          <color rgb="FFFF0000"/>
        </bottom>
        <vertical/>
        <horizontal/>
      </border>
    </dxf>
    <dxf>
      <font>
        <color rgb="FFFF0000"/>
      </font>
      <border>
        <left style="thin">
          <color rgb="FFFF0000"/>
        </left>
        <right style="thin">
          <color rgb="FFFF0000"/>
        </right>
        <top style="thin">
          <color rgb="FFFF0000"/>
        </top>
        <bottom style="thin">
          <color rgb="FFFF0000"/>
        </bottom>
        <vertical/>
        <horizontal/>
      </border>
    </dxf>
    <dxf>
      <font>
        <color rgb="FFFF0000"/>
      </font>
      <border>
        <left style="thin">
          <color rgb="FFFF0000"/>
        </left>
        <right style="thin">
          <color rgb="FFFF0000"/>
        </right>
        <top style="thin">
          <color rgb="FFFF0000"/>
        </top>
        <bottom style="thin">
          <color rgb="FFFF0000"/>
        </bottom>
        <vertical/>
        <horizontal/>
      </border>
    </dxf>
    <dxf>
      <font>
        <color rgb="FFFF0000"/>
      </font>
      <border>
        <left style="thin">
          <color rgb="FFFF0000"/>
        </left>
        <right style="thin">
          <color rgb="FFFF0000"/>
        </right>
        <top style="thin">
          <color rgb="FFFF0000"/>
        </top>
        <bottom style="thin">
          <color rgb="FFFF0000"/>
        </bottom>
        <vertical/>
        <horizontal/>
      </border>
    </dxf>
    <dxf>
      <font>
        <color theme="0"/>
      </font>
    </dxf>
    <dxf>
      <font>
        <color theme="0"/>
      </font>
    </dxf>
    <dxf>
      <font>
        <color rgb="FFFF0000"/>
      </font>
    </dxf>
    <dxf>
      <font>
        <color theme="0"/>
      </font>
    </dxf>
    <dxf>
      <font>
        <color rgb="FFFF0000"/>
      </font>
      <border>
        <left style="thin">
          <color rgb="FFFF0000"/>
        </left>
        <right style="thin">
          <color rgb="FFFF0000"/>
        </right>
        <top style="thin">
          <color rgb="FFFF0000"/>
        </top>
        <bottom style="thin">
          <color rgb="FFFF0000"/>
        </bottom>
        <vertical/>
        <horizontal/>
      </border>
    </dxf>
    <dxf>
      <font>
        <color rgb="FFFF0000"/>
      </font>
      <border>
        <left style="thin">
          <color rgb="FFFF0000"/>
        </left>
        <right style="thin">
          <color rgb="FFFF0000"/>
        </right>
        <top style="thin">
          <color rgb="FFFF0000"/>
        </top>
        <bottom style="thin">
          <color rgb="FFFF0000"/>
        </bottom>
        <vertical/>
        <horizontal/>
      </border>
    </dxf>
    <dxf>
      <font>
        <color rgb="FFFF0000"/>
      </font>
      <border>
        <left style="thin">
          <color rgb="FFFF0000"/>
        </left>
        <right style="thin">
          <color rgb="FFFF0000"/>
        </right>
        <top style="thin">
          <color rgb="FFFF0000"/>
        </top>
        <bottom style="thin">
          <color rgb="FFFF0000"/>
        </bottom>
        <vertical/>
        <horizontal/>
      </border>
    </dxf>
    <dxf>
      <font>
        <color rgb="FFFF0000"/>
      </font>
      <border>
        <left style="thin">
          <color rgb="FFFF0000"/>
        </left>
        <right style="thin">
          <color rgb="FFFF0000"/>
        </right>
        <top style="thin">
          <color rgb="FFFF0000"/>
        </top>
        <bottom style="thin">
          <color rgb="FFFF0000"/>
        </bottom>
        <vertical/>
        <horizontal/>
      </border>
    </dxf>
    <dxf>
      <font>
        <color rgb="FFFF8205"/>
      </font>
    </dxf>
    <dxf>
      <font>
        <color theme="9" tint="-0.24994659260841701"/>
      </font>
    </dxf>
    <dxf>
      <font>
        <color theme="0"/>
      </font>
      <fill>
        <patternFill patternType="none">
          <bgColor auto="1"/>
        </patternFill>
      </fill>
      <border>
        <left/>
        <right/>
        <top/>
        <bottom/>
      </border>
    </dxf>
    <dxf>
      <font>
        <color rgb="FFFF8205"/>
      </font>
    </dxf>
    <dxf>
      <font>
        <color theme="9" tint="-0.24994659260841701"/>
      </font>
    </dxf>
    <dxf>
      <font>
        <color theme="0"/>
      </font>
      <fill>
        <patternFill patternType="none">
          <bgColor auto="1"/>
        </patternFill>
      </fill>
      <border>
        <left/>
        <right/>
        <top/>
        <bottom/>
      </border>
    </dxf>
    <dxf>
      <font>
        <color rgb="FFFF8205"/>
      </font>
    </dxf>
    <dxf>
      <font>
        <color theme="9" tint="-0.24994659260841701"/>
      </font>
    </dxf>
    <dxf>
      <font>
        <color rgb="FFFF8205"/>
      </font>
    </dxf>
    <dxf>
      <font>
        <color theme="9" tint="-0.24994659260841701"/>
      </font>
    </dxf>
    <dxf>
      <font>
        <color theme="0"/>
      </font>
      <fill>
        <patternFill patternType="none">
          <bgColor auto="1"/>
        </patternFill>
      </fill>
      <border>
        <left/>
        <right/>
        <top/>
        <bottom/>
      </border>
    </dxf>
    <dxf>
      <font>
        <color rgb="FFFF8205"/>
      </font>
    </dxf>
    <dxf>
      <font>
        <color theme="9" tint="-0.24994659260841701"/>
      </font>
    </dxf>
    <dxf>
      <font>
        <color theme="0"/>
      </font>
      <fill>
        <patternFill patternType="none">
          <bgColor auto="1"/>
        </patternFill>
      </fill>
      <border>
        <left/>
        <right/>
        <top/>
        <bottom/>
      </border>
    </dxf>
    <dxf>
      <fill>
        <patternFill>
          <bgColor theme="9" tint="0.59996337778862885"/>
        </patternFill>
      </fill>
    </dxf>
    <dxf>
      <font>
        <color rgb="FFFF8205"/>
      </font>
    </dxf>
    <dxf>
      <font>
        <color theme="9" tint="-0.24994659260841701"/>
      </font>
    </dxf>
    <dxf>
      <font>
        <color rgb="FFFF8205"/>
      </font>
    </dxf>
    <dxf>
      <font>
        <color theme="9" tint="-0.24994659260841701"/>
      </font>
    </dxf>
    <dxf>
      <font>
        <color rgb="FFFF8205"/>
      </font>
    </dxf>
    <dxf>
      <font>
        <color theme="9" tint="-0.24994659260841701"/>
      </font>
    </dxf>
    <dxf>
      <font>
        <color theme="0"/>
      </font>
      <fill>
        <patternFill patternType="none">
          <bgColor auto="1"/>
        </patternFill>
      </fill>
      <border>
        <left/>
        <right/>
        <top/>
        <bottom/>
      </border>
    </dxf>
    <dxf>
      <font>
        <color rgb="FFFF8205"/>
      </font>
    </dxf>
    <dxf>
      <font>
        <color theme="9" tint="-0.24994659260841701"/>
      </font>
    </dxf>
    <dxf>
      <font>
        <color theme="0"/>
      </font>
      <fill>
        <patternFill patternType="none">
          <bgColor auto="1"/>
        </patternFill>
      </fill>
      <border>
        <left/>
        <right/>
        <top/>
        <bottom/>
      </border>
    </dxf>
    <dxf>
      <font>
        <color rgb="FFFF8205"/>
      </font>
    </dxf>
    <dxf>
      <font>
        <color theme="9" tint="-0.24994659260841701"/>
      </font>
    </dxf>
    <dxf>
      <font>
        <color theme="0"/>
      </font>
      <fill>
        <patternFill patternType="none">
          <bgColor auto="1"/>
        </patternFill>
      </fill>
      <border>
        <left/>
        <right/>
        <top/>
        <bottom/>
      </border>
    </dxf>
    <dxf>
      <font>
        <color rgb="FFFF8205"/>
      </font>
    </dxf>
    <dxf>
      <font>
        <color theme="9" tint="-0.24994659260841701"/>
      </font>
    </dxf>
    <dxf>
      <font>
        <color theme="0"/>
      </font>
      <fill>
        <patternFill patternType="none">
          <bgColor auto="1"/>
        </patternFill>
      </fill>
      <border>
        <left/>
        <right/>
        <top/>
        <bottom/>
      </border>
    </dxf>
    <dxf>
      <font>
        <color rgb="FFFF8205"/>
      </font>
    </dxf>
    <dxf>
      <font>
        <color theme="9" tint="-0.24994659260841701"/>
      </font>
    </dxf>
    <dxf>
      <font>
        <color theme="0"/>
      </font>
      <fill>
        <patternFill patternType="none">
          <bgColor auto="1"/>
        </patternFill>
      </fill>
      <border>
        <left/>
        <right/>
        <top/>
        <bottom/>
      </border>
    </dxf>
    <dxf>
      <font>
        <color rgb="FFFF8205"/>
      </font>
    </dxf>
    <dxf>
      <font>
        <color theme="9" tint="-0.24994659260841701"/>
      </font>
    </dxf>
    <dxf>
      <font>
        <color theme="0"/>
      </font>
      <fill>
        <patternFill patternType="none">
          <bgColor auto="1"/>
        </patternFill>
      </fill>
      <border>
        <left/>
        <right/>
        <top/>
        <bottom/>
      </border>
    </dxf>
    <dxf>
      <font>
        <color rgb="FFFF8205"/>
      </font>
    </dxf>
    <dxf>
      <font>
        <color theme="9" tint="-0.24994659260841701"/>
      </font>
    </dxf>
    <dxf>
      <font>
        <color theme="0"/>
      </font>
      <fill>
        <patternFill patternType="none">
          <bgColor auto="1"/>
        </patternFill>
      </fill>
      <border>
        <left/>
        <right/>
        <top/>
        <bottom/>
      </border>
    </dxf>
    <dxf>
      <font>
        <color rgb="FFFF8205"/>
      </font>
    </dxf>
    <dxf>
      <font>
        <color theme="9" tint="-0.24994659260841701"/>
      </font>
    </dxf>
    <dxf>
      <font>
        <color theme="0"/>
      </font>
      <fill>
        <patternFill patternType="none">
          <bgColor auto="1"/>
        </patternFill>
      </fill>
      <border>
        <left/>
        <right/>
        <top/>
        <bottom/>
      </border>
    </dxf>
    <dxf>
      <font>
        <color theme="0"/>
      </font>
    </dxf>
    <dxf>
      <font>
        <color rgb="FFFF0000"/>
      </font>
      <border>
        <left style="thin">
          <color rgb="FFFF0000"/>
        </left>
        <right style="thin">
          <color rgb="FFFF0000"/>
        </right>
        <top style="thin">
          <color rgb="FFFF0000"/>
        </top>
        <bottom style="thin">
          <color rgb="FFFF0000"/>
        </bottom>
        <vertical/>
        <horizontal/>
      </border>
    </dxf>
    <dxf>
      <font>
        <color theme="0"/>
      </font>
    </dxf>
    <dxf>
      <font>
        <color theme="0"/>
      </font>
    </dxf>
    <dxf>
      <font>
        <color theme="0"/>
      </font>
    </dxf>
    <dxf>
      <font>
        <color theme="0"/>
      </font>
    </dxf>
    <dxf>
      <font>
        <color theme="0"/>
      </font>
    </dxf>
    <dxf>
      <font>
        <color theme="0"/>
      </font>
    </dxf>
    <dxf>
      <font>
        <color rgb="FFFF8205"/>
      </font>
    </dxf>
    <dxf>
      <font>
        <color theme="9" tint="-0.24994659260841701"/>
      </font>
    </dxf>
    <dxf>
      <font>
        <color theme="0"/>
      </font>
      <fill>
        <patternFill patternType="none">
          <bgColor auto="1"/>
        </patternFill>
      </fill>
      <border>
        <left/>
        <right/>
        <top/>
        <bottom/>
      </border>
    </dxf>
    <dxf>
      <font>
        <color rgb="FFFF8205"/>
      </font>
    </dxf>
    <dxf>
      <font>
        <color theme="9" tint="-0.24994659260841701"/>
      </font>
    </dxf>
    <dxf>
      <font>
        <color theme="0"/>
      </font>
      <fill>
        <patternFill patternType="none">
          <bgColor auto="1"/>
        </patternFill>
      </fill>
      <border>
        <left/>
        <right/>
        <top/>
        <bottom/>
      </border>
    </dxf>
    <dxf>
      <font>
        <color rgb="FFFF0000"/>
      </font>
      <border>
        <left style="thin">
          <color rgb="FFFF0000"/>
        </left>
        <right style="thin">
          <color rgb="FFFF0000"/>
        </right>
        <top style="thin">
          <color rgb="FFFF0000"/>
        </top>
        <bottom style="thin">
          <color rgb="FFFF0000"/>
        </bottom>
        <vertical/>
        <horizontal/>
      </border>
    </dxf>
    <dxf>
      <font>
        <color theme="0"/>
      </font>
    </dxf>
    <dxf>
      <font>
        <color theme="0"/>
      </font>
    </dxf>
    <dxf>
      <font>
        <color theme="0"/>
      </font>
    </dxf>
    <dxf>
      <font>
        <color theme="0"/>
      </font>
    </dxf>
    <dxf>
      <font>
        <color theme="0"/>
      </font>
    </dxf>
  </dxfs>
  <tableStyles count="1" defaultTableStyle="TableStyleMedium2"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Ex1.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Ex2.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Répartition par titre</a:t>
            </a:r>
            <a:r>
              <a:rPr lang="en-US" b="1" baseline="0"/>
              <a:t> de charges (année N)</a:t>
            </a:r>
            <a:endParaRPr lang="en-US"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pieChart>
        <c:varyColors val="1"/>
        <c:ser>
          <c:idx val="0"/>
          <c:order val="0"/>
          <c:explosion val="2"/>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7DF-456D-B66A-4F01EC0D1A0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7DF-456D-B66A-4F01EC0D1A0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7DF-456D-B66A-4F01EC0D1A0F}"/>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7DF-456D-B66A-4F01EC0D1A0F}"/>
              </c:ext>
            </c:extLst>
          </c:dPt>
          <c:dLbls>
            <c:dLbl>
              <c:idx val="2"/>
              <c:layout>
                <c:manualLayout>
                  <c:x val="3.8573618516711775E-2"/>
                  <c:y val="8.6480517544219176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7DF-456D-B66A-4F01EC0D1A0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('Maquette SAMT'!$C$20,'Maquette SAMT'!$C$37,'Maquette SAMT'!$C$38,'Maquette SAMT'!$C$39)</c:f>
              <c:strCache>
                <c:ptCount val="4"/>
                <c:pt idx="0">
                  <c:v>Titre 1 : Charges de personnel</c:v>
                </c:pt>
                <c:pt idx="1">
                  <c:v>Titre 2 : Charges à caractére médical</c:v>
                </c:pt>
                <c:pt idx="2">
                  <c:v>Titre 3 : Charges à caractére hôtelier et général</c:v>
                </c:pt>
                <c:pt idx="3">
                  <c:v>Titre 4 : Charges à caractére financier</c:v>
                </c:pt>
              </c:strCache>
            </c:strRef>
          </c:cat>
          <c:val>
            <c:numRef>
              <c:f>('Maquette SAMT'!$I$20,'Maquette SAMT'!$I$37,'Maquette SAMT'!$I$38,'Maquette SAMT'!$I$39)</c:f>
              <c:numCache>
                <c:formatCode>0%</c:formatCode>
                <c:ptCount val="4"/>
                <c:pt idx="0">
                  <c:v>0.67661008721422211</c:v>
                </c:pt>
                <c:pt idx="1">
                  <c:v>0.21457220815547928</c:v>
                </c:pt>
                <c:pt idx="2">
                  <c:v>2.042136081556668E-2</c:v>
                </c:pt>
                <c:pt idx="3">
                  <c:v>7.683578942203545E-2</c:v>
                </c:pt>
              </c:numCache>
            </c:numRef>
          </c:val>
          <c:extLst>
            <c:ext xmlns:c16="http://schemas.microsoft.com/office/drawing/2014/chart" uri="{C3380CC4-5D6E-409C-BE32-E72D297353CC}">
              <c16:uniqueId val="{00000000-2553-4A22-98DC-E5AED40A811D}"/>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paperSize="9" orientation="landscape"/>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size">
        <cx:f>_xlchart.v1.2</cx:f>
      </cx:numDim>
    </cx:data>
  </cx:chartData>
  <cx:chart>
    <cx:title pos="t" align="ctr" overlay="0">
      <cx:tx>
        <cx:txData>
          <cx:v>Répartition des charges de personnel par poste de charges</cx:v>
        </cx:txData>
      </cx:tx>
      <cx:txPr>
        <a:bodyPr spcFirstLastPara="1" vertOverflow="ellipsis" horzOverflow="overflow" wrap="square" lIns="0" tIns="0" rIns="0" bIns="0" anchor="ctr" anchorCtr="1"/>
        <a:lstStyle/>
        <a:p>
          <a:pPr algn="ctr" rtl="0">
            <a:defRPr/>
          </a:pPr>
          <a:r>
            <a:rPr lang="fr-FR" sz="1400" b="1" i="0" u="none" strike="noStrike" baseline="0">
              <a:solidFill>
                <a:sysClr val="windowText" lastClr="000000">
                  <a:lumMod val="65000"/>
                  <a:lumOff val="35000"/>
                </a:sysClr>
              </a:solidFill>
              <a:latin typeface="Calibri" panose="020F0502020204030204"/>
            </a:rPr>
            <a:t>Répartition des charges de personnel par poste de charges</a:t>
          </a:r>
        </a:p>
      </cx:txPr>
    </cx:title>
    <cx:plotArea>
      <cx:plotAreaRegion>
        <cx:series layoutId="treemap" uniqueId="{2BEB28BB-473A-4E28-90C6-F3D3D456222D}">
          <cx:tx>
            <cx:txData>
              <cx:f>_xlchart.v1.1</cx:f>
              <cx:v>Total 117 676 € 894 567 € 199 627 € 168 526 € . 208 € 13 711 € 1 942 819 € 4 610 € 731 040 € . . 176 318 € 3 528 € 547 € 240 € 161 € . 901 978 € 414 158 € 159 826 €</cx:v>
            </cx:txData>
          </cx:tx>
          <cx:dataLabels pos="inEnd">
            <cx:visibility seriesName="0" categoryName="1" value="1"/>
            <cx:separator>, </cx:separator>
            <cx:dataLabelHidden idx="11"/>
          </cx:dataLabels>
          <cx:dataId val="0"/>
          <cx:layoutPr>
            <cx:parentLabelLayout val="overlapping"/>
          </cx:layoutPr>
        </cx:series>
      </cx:plotAreaRegion>
    </cx:plotArea>
  </cx:chart>
  <cx:printSettings>
    <cx:headerFooter alignWithMargins="1" differentOddEven="0" differentFirst="0"/>
    <cx:pageMargins l="0.69999999999999996" r="0.69999999999999996" t="0.75" b="0.75" header="0.29999999999999999" footer="0.29999999999999999"/>
    <cx:pageSetup paperSize="1" firstPageNumber="1" orientation="default" blackAndWhite="0" draft="0" useFirstPageNumber="0" horizontalDpi="600" verticalDpi="600" copies="1"/>
  </cx:printSettings>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numDim type="size">
        <cx:f dir="row">_xlchart.v1.4</cx:f>
      </cx:numDim>
    </cx:data>
    <cx:data id="1">
      <cx:numDim type="size">
        <cx:f dir="row">_xlchart.v1.6</cx:f>
      </cx:numDim>
    </cx:data>
  </cx:chartData>
  <cx:chart>
    <cx:title pos="t" align="ctr" overlay="0"/>
    <cx:plotArea>
      <cx:plotAreaRegion>
        <cx:series layoutId="treemap" uniqueId="{00000001-F56C-4912-9D6A-FEA57DB11CBF}" formatIdx="0">
          <cx:tx>
            <cx:txData>
              <cx:f>_xlchart.v1.3</cx:f>
              <cx:v>truc</cx:v>
            </cx:txData>
          </cx:tx>
          <cx:dataId val="0"/>
          <cx:layoutPr/>
        </cx:series>
        <cx:series layoutId="treemap" hidden="1" uniqueId="{00000002-F56C-4912-9D6A-FEA57DB11CBF}" formatIdx="1">
          <cx:tx>
            <cx:txData>
              <cx:f>_xlchart.v1.5</cx:f>
              <cx:v>machin</cx:v>
            </cx:txData>
          </cx:tx>
          <cx:dataId val="1"/>
          <cx:layoutPr/>
        </cx:series>
      </cx:plotAreaRegion>
    </cx:plotArea>
    <cx:legend pos="t" align="ctr" overlay="0"/>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hyperlink" Target="#'Maquette SAMT'!A1"/><Relationship Id="rId1" Type="http://schemas.openxmlformats.org/officeDocument/2006/relationships/hyperlink" Target="#'SAISIE DES DONNEES SAMT'!A1"/></Relationships>
</file>

<file path=xl/drawings/_rels/drawing2.xml.rels><?xml version="1.0" encoding="UTF-8" standalone="yes"?>
<Relationships xmlns="http://schemas.openxmlformats.org/package/2006/relationships"><Relationship Id="rId2" Type="http://schemas.openxmlformats.org/officeDocument/2006/relationships/hyperlink" Target="#'Maquette SAMT'!A1"/><Relationship Id="rId1" Type="http://schemas.openxmlformats.org/officeDocument/2006/relationships/hyperlink" Target="#'Fiche de contenu d&#233;taill&#233;e'!C12"/></Relationships>
</file>

<file path=xl/drawings/_rels/drawing3.xml.rels><?xml version="1.0" encoding="UTF-8" standalone="yes"?>
<Relationships xmlns="http://schemas.openxmlformats.org/package/2006/relationships"><Relationship Id="rId2" Type="http://schemas.openxmlformats.org/officeDocument/2006/relationships/hyperlink" Target="#'Maquette SAMT'!A1"/><Relationship Id="rId1" Type="http://schemas.openxmlformats.org/officeDocument/2006/relationships/hyperlink" Target="#'Fiche de contenu d&#233;taill&#233;e'!C12"/></Relationships>
</file>

<file path=xl/drawings/_rels/drawing4.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hyperlink" Target="#'SAISIE DES DONNEES SAMT'!A1"/><Relationship Id="rId1" Type="http://schemas.openxmlformats.org/officeDocument/2006/relationships/hyperlink" Target="#'Fiche de contenu d&#233;taill&#233;e'!C12"/><Relationship Id="rId4" Type="http://schemas.microsoft.com/office/2014/relationships/chartEx" Target="../charts/chartEx1.xml"/></Relationships>
</file>

<file path=xl/drawings/_rels/drawing5.xml.rels><?xml version="1.0" encoding="UTF-8" standalone="yes"?>
<Relationships xmlns="http://schemas.openxmlformats.org/package/2006/relationships"><Relationship Id="rId1" Type="http://schemas.microsoft.com/office/2014/relationships/chartEx" Target="../charts/chartEx2.xml"/></Relationships>
</file>

<file path=xl/drawings/drawing1.xml><?xml version="1.0" encoding="utf-8"?>
<xdr:wsDr xmlns:xdr="http://schemas.openxmlformats.org/drawingml/2006/spreadsheetDrawing" xmlns:a="http://schemas.openxmlformats.org/drawingml/2006/main">
  <xdr:twoCellAnchor>
    <xdr:from>
      <xdr:col>6</xdr:col>
      <xdr:colOff>750569</xdr:colOff>
      <xdr:row>56</xdr:row>
      <xdr:rowOff>589597</xdr:rowOff>
    </xdr:from>
    <xdr:to>
      <xdr:col>10</xdr:col>
      <xdr:colOff>735330</xdr:colOff>
      <xdr:row>57</xdr:row>
      <xdr:rowOff>247650</xdr:rowOff>
    </xdr:to>
    <xdr:sp macro="" textlink="">
      <xdr:nvSpPr>
        <xdr:cNvPr id="44" name="ZoneTexte 43">
          <a:hlinkClick xmlns:r="http://schemas.openxmlformats.org/officeDocument/2006/relationships" r:id="rId1"/>
          <a:extLst>
            <a:ext uri="{FF2B5EF4-FFF2-40B4-BE49-F238E27FC236}">
              <a16:creationId xmlns:a16="http://schemas.microsoft.com/office/drawing/2014/main" id="{98F4B046-BB13-4108-B27D-6159FE218A03}"/>
            </a:ext>
          </a:extLst>
        </xdr:cNvPr>
        <xdr:cNvSpPr txBox="1"/>
      </xdr:nvSpPr>
      <xdr:spPr>
        <a:xfrm>
          <a:off x="6075044" y="11895772"/>
          <a:ext cx="3566161" cy="248603"/>
        </a:xfrm>
        <a:prstGeom prst="rect">
          <a:avLst/>
        </a:prstGeom>
        <a:ln/>
      </xdr:spPr>
      <xdr:style>
        <a:lnRef idx="0">
          <a:schemeClr val="accent6"/>
        </a:lnRef>
        <a:fillRef idx="3">
          <a:schemeClr val="accent6"/>
        </a:fillRef>
        <a:effectRef idx="3">
          <a:schemeClr val="accent6"/>
        </a:effectRef>
        <a:fontRef idx="minor">
          <a:schemeClr val="lt1"/>
        </a:fontRef>
      </xdr:style>
      <xdr:txBody>
        <a:bodyPr vertOverflow="clip" horzOverflow="clip" wrap="square" rtlCol="0" anchor="t"/>
        <a:lstStyle/>
        <a:p>
          <a:pPr algn="ctr"/>
          <a:r>
            <a:rPr lang="fr-FR" sz="900" b="1">
              <a:latin typeface="Verdana" panose="020B0604030504040204" pitchFamily="34" charset="0"/>
              <a:ea typeface="Verdana" panose="020B0604030504040204" pitchFamily="34" charset="0"/>
            </a:rPr>
            <a:t>Grille pour la saisie de vos données des</a:t>
          </a:r>
          <a:r>
            <a:rPr lang="fr-FR" sz="900" b="1" baseline="0">
              <a:latin typeface="Verdana" panose="020B0604030504040204" pitchFamily="34" charset="0"/>
              <a:ea typeface="Verdana" panose="020B0604030504040204" pitchFamily="34" charset="0"/>
            </a:rPr>
            <a:t> SAMT</a:t>
          </a:r>
          <a:endParaRPr lang="fr-FR" sz="900" b="1">
            <a:latin typeface="Verdana" panose="020B0604030504040204" pitchFamily="34" charset="0"/>
            <a:ea typeface="Verdana" panose="020B0604030504040204" pitchFamily="34" charset="0"/>
          </a:endParaRPr>
        </a:p>
      </xdr:txBody>
    </xdr:sp>
    <xdr:clientData/>
  </xdr:twoCellAnchor>
  <xdr:twoCellAnchor>
    <xdr:from>
      <xdr:col>7</xdr:col>
      <xdr:colOff>401321</xdr:colOff>
      <xdr:row>59</xdr:row>
      <xdr:rowOff>123508</xdr:rowOff>
    </xdr:from>
    <xdr:to>
      <xdr:col>10</xdr:col>
      <xdr:colOff>585471</xdr:colOff>
      <xdr:row>61</xdr:row>
      <xdr:rowOff>71120</xdr:rowOff>
    </xdr:to>
    <xdr:sp macro="" textlink="">
      <xdr:nvSpPr>
        <xdr:cNvPr id="46" name="Rectangle : coins arrondis 45">
          <a:hlinkClick xmlns:r="http://schemas.openxmlformats.org/officeDocument/2006/relationships" r:id="rId2"/>
          <a:extLst>
            <a:ext uri="{FF2B5EF4-FFF2-40B4-BE49-F238E27FC236}">
              <a16:creationId xmlns:a16="http://schemas.microsoft.com/office/drawing/2014/main" id="{0DA52F39-4C5A-42BB-9199-62C8E7527E8E}"/>
            </a:ext>
          </a:extLst>
        </xdr:cNvPr>
        <xdr:cNvSpPr/>
      </xdr:nvSpPr>
      <xdr:spPr>
        <a:xfrm>
          <a:off x="8097521" y="21516658"/>
          <a:ext cx="2744470" cy="260032"/>
        </a:xfrm>
        <a:prstGeom prst="roundRect">
          <a:avLst/>
        </a:prstGeom>
        <a:solidFill>
          <a:srgbClr val="00B0F0"/>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1">
              <a:solidFill>
                <a:schemeClr val="bg1"/>
              </a:solidFill>
              <a:latin typeface="Verdana" panose="020B0604030504040204" pitchFamily="34" charset="0"/>
              <a:ea typeface="Verdana" panose="020B0604030504040204" pitchFamily="34" charset="0"/>
            </a:rPr>
            <a:t>Maquette pour vos résultats (SAMT)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38736</xdr:colOff>
      <xdr:row>0</xdr:row>
      <xdr:rowOff>19263</xdr:rowOff>
    </xdr:from>
    <xdr:to>
      <xdr:col>0</xdr:col>
      <xdr:colOff>1209040</xdr:colOff>
      <xdr:row>3</xdr:row>
      <xdr:rowOff>91442</xdr:rowOff>
    </xdr:to>
    <xdr:sp macro="" textlink="">
      <xdr:nvSpPr>
        <xdr:cNvPr id="2" name="ZoneTexte 1">
          <a:hlinkClick xmlns:r="http://schemas.openxmlformats.org/officeDocument/2006/relationships" r:id="rId1"/>
          <a:extLst>
            <a:ext uri="{FF2B5EF4-FFF2-40B4-BE49-F238E27FC236}">
              <a16:creationId xmlns:a16="http://schemas.microsoft.com/office/drawing/2014/main" id="{44FC450D-E555-4476-99FD-9292F815F7E9}"/>
            </a:ext>
          </a:extLst>
        </xdr:cNvPr>
        <xdr:cNvSpPr txBox="1"/>
      </xdr:nvSpPr>
      <xdr:spPr>
        <a:xfrm>
          <a:off x="38736" y="19263"/>
          <a:ext cx="1170304" cy="527262"/>
        </a:xfrm>
        <a:prstGeom prst="rect">
          <a:avLst/>
        </a:prstGeom>
        <a:ln/>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ctr"/>
        <a:lstStyle/>
        <a:p>
          <a:pPr algn="ctr"/>
          <a:r>
            <a:rPr lang="fr-FR" sz="1400" b="1"/>
            <a:t>Retour</a:t>
          </a:r>
          <a:r>
            <a:rPr lang="fr-FR" sz="1400" b="1" baseline="0"/>
            <a:t> </a:t>
          </a:r>
          <a:r>
            <a:rPr lang="fr-FR" sz="1400" b="1">
              <a:solidFill>
                <a:schemeClr val="lt1"/>
              </a:solidFill>
              <a:latin typeface="+mn-lt"/>
              <a:ea typeface="+mn-ea"/>
              <a:cs typeface="+mn-cs"/>
            </a:rPr>
            <a:t>accueil</a:t>
          </a:r>
        </a:p>
      </xdr:txBody>
    </xdr:sp>
    <xdr:clientData/>
  </xdr:twoCellAnchor>
  <xdr:twoCellAnchor>
    <xdr:from>
      <xdr:col>0</xdr:col>
      <xdr:colOff>1289897</xdr:colOff>
      <xdr:row>0</xdr:row>
      <xdr:rowOff>27516</xdr:rowOff>
    </xdr:from>
    <xdr:to>
      <xdr:col>1</xdr:col>
      <xdr:colOff>224367</xdr:colOff>
      <xdr:row>3</xdr:row>
      <xdr:rowOff>98777</xdr:rowOff>
    </xdr:to>
    <xdr:sp macro="" textlink="">
      <xdr:nvSpPr>
        <xdr:cNvPr id="4" name="ZoneTexte 3">
          <a:hlinkClick xmlns:r="http://schemas.openxmlformats.org/officeDocument/2006/relationships" r:id="rId2"/>
          <a:extLst>
            <a:ext uri="{FF2B5EF4-FFF2-40B4-BE49-F238E27FC236}">
              <a16:creationId xmlns:a16="http://schemas.microsoft.com/office/drawing/2014/main" id="{0DD1CF7E-3460-427E-823E-F007ACC06F53}"/>
            </a:ext>
          </a:extLst>
        </xdr:cNvPr>
        <xdr:cNvSpPr txBox="1"/>
      </xdr:nvSpPr>
      <xdr:spPr>
        <a:xfrm>
          <a:off x="1289897" y="27516"/>
          <a:ext cx="1700248" cy="536928"/>
        </a:xfrm>
        <a:prstGeom prst="rect">
          <a:avLst/>
        </a:prstGeom>
        <a:ln/>
      </xdr:spPr>
      <xdr:style>
        <a:lnRef idx="0">
          <a:schemeClr val="accent5"/>
        </a:lnRef>
        <a:fillRef idx="3">
          <a:schemeClr val="accent5"/>
        </a:fillRef>
        <a:effectRef idx="3">
          <a:schemeClr val="accent5"/>
        </a:effectRef>
        <a:fontRef idx="minor">
          <a:schemeClr val="lt1"/>
        </a:fontRef>
      </xdr:style>
      <xdr:txBody>
        <a:bodyPr vertOverflow="clip" horzOverflow="clip" wrap="square" rtlCol="0" anchor="t"/>
        <a:lstStyle/>
        <a:p>
          <a:pPr algn="ctr"/>
          <a:r>
            <a:rPr lang="fr-FR" sz="1200"/>
            <a:t>Vos résultats (</a:t>
          </a:r>
          <a:r>
            <a:rPr lang="fr-FR" sz="1200" b="1" i="1"/>
            <a:t>maquette</a:t>
          </a:r>
          <a:r>
            <a:rPr lang="fr-FR" sz="1200"/>
            <a:t>)</a:t>
          </a:r>
        </a:p>
      </xdr:txBody>
    </xdr:sp>
    <xdr:clientData/>
  </xdr:twoCellAnchor>
  <xdr:twoCellAnchor>
    <xdr:from>
      <xdr:col>3</xdr:col>
      <xdr:colOff>27728</xdr:colOff>
      <xdr:row>0</xdr:row>
      <xdr:rowOff>0</xdr:rowOff>
    </xdr:from>
    <xdr:to>
      <xdr:col>3</xdr:col>
      <xdr:colOff>3734222</xdr:colOff>
      <xdr:row>3</xdr:row>
      <xdr:rowOff>146262</xdr:rowOff>
    </xdr:to>
    <xdr:sp macro="" textlink="">
      <xdr:nvSpPr>
        <xdr:cNvPr id="7" name="ZoneTexte 6">
          <a:extLst>
            <a:ext uri="{FF2B5EF4-FFF2-40B4-BE49-F238E27FC236}">
              <a16:creationId xmlns:a16="http://schemas.microsoft.com/office/drawing/2014/main" id="{84910FE7-413C-456F-AB57-154F825B6040}"/>
            </a:ext>
          </a:extLst>
        </xdr:cNvPr>
        <xdr:cNvSpPr txBox="1"/>
      </xdr:nvSpPr>
      <xdr:spPr>
        <a:xfrm>
          <a:off x="3118061" y="0"/>
          <a:ext cx="3706494" cy="601345"/>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i="1"/>
            <a:t>Ceci</a:t>
          </a:r>
          <a:r>
            <a:rPr lang="fr-FR" sz="1000" i="1" baseline="0"/>
            <a:t> est un exemple renseigné et représente votre onglet de saisie. Les cellules grisées sont à renseigner.</a:t>
          </a:r>
        </a:p>
        <a:p>
          <a:pPr marL="0" marR="0" lvl="0" indent="0" defTabSz="914400" eaLnBrk="1" fontAlgn="auto" latinLnBrk="0" hangingPunct="1">
            <a:lnSpc>
              <a:spcPct val="100000"/>
            </a:lnSpc>
            <a:spcBef>
              <a:spcPts val="0"/>
            </a:spcBef>
            <a:spcAft>
              <a:spcPts val="0"/>
            </a:spcAft>
            <a:buClrTx/>
            <a:buSzTx/>
            <a:buFontTx/>
            <a:buNone/>
            <a:tabLst/>
            <a:defRPr/>
          </a:pPr>
          <a:r>
            <a:rPr lang="fr-FR" sz="1100" i="1" baseline="0">
              <a:solidFill>
                <a:schemeClr val="dk1"/>
              </a:solidFill>
              <a:effectLst/>
              <a:latin typeface="+mn-lt"/>
              <a:ea typeface="+mn-ea"/>
              <a:cs typeface="+mn-cs"/>
            </a:rPr>
            <a:t>La saisie N-1 s'effectue plus bas.</a:t>
          </a:r>
          <a:endParaRPr lang="fr-FR">
            <a:effectLst/>
          </a:endParaRPr>
        </a:p>
        <a:p>
          <a:endParaRPr lang="fr-FR" sz="1100" i="1" baseline="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38736</xdr:colOff>
      <xdr:row>0</xdr:row>
      <xdr:rowOff>19263</xdr:rowOff>
    </xdr:from>
    <xdr:to>
      <xdr:col>0</xdr:col>
      <xdr:colOff>1209040</xdr:colOff>
      <xdr:row>3</xdr:row>
      <xdr:rowOff>91442</xdr:rowOff>
    </xdr:to>
    <xdr:sp macro="" textlink="">
      <xdr:nvSpPr>
        <xdr:cNvPr id="2" name="ZoneTexte 1">
          <a:hlinkClick xmlns:r="http://schemas.openxmlformats.org/officeDocument/2006/relationships" r:id="rId1"/>
          <a:extLst>
            <a:ext uri="{FF2B5EF4-FFF2-40B4-BE49-F238E27FC236}">
              <a16:creationId xmlns:a16="http://schemas.microsoft.com/office/drawing/2014/main" id="{0902906D-6818-49BF-A848-5F0867C7EA4D}"/>
            </a:ext>
          </a:extLst>
        </xdr:cNvPr>
        <xdr:cNvSpPr txBox="1"/>
      </xdr:nvSpPr>
      <xdr:spPr>
        <a:xfrm>
          <a:off x="38736" y="15453"/>
          <a:ext cx="1168399" cy="527474"/>
        </a:xfrm>
        <a:prstGeom prst="rect">
          <a:avLst/>
        </a:prstGeom>
        <a:ln/>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ctr"/>
        <a:lstStyle/>
        <a:p>
          <a:pPr algn="ctr"/>
          <a:r>
            <a:rPr lang="fr-FR" sz="1400" b="1"/>
            <a:t>Retour</a:t>
          </a:r>
          <a:r>
            <a:rPr lang="fr-FR" sz="1400" b="1" baseline="0"/>
            <a:t> </a:t>
          </a:r>
          <a:r>
            <a:rPr lang="fr-FR" sz="1400" b="1">
              <a:solidFill>
                <a:schemeClr val="lt1"/>
              </a:solidFill>
              <a:latin typeface="+mn-lt"/>
              <a:ea typeface="+mn-ea"/>
              <a:cs typeface="+mn-cs"/>
            </a:rPr>
            <a:t>accueil</a:t>
          </a:r>
        </a:p>
      </xdr:txBody>
    </xdr:sp>
    <xdr:clientData/>
  </xdr:twoCellAnchor>
  <xdr:twoCellAnchor>
    <xdr:from>
      <xdr:col>0</xdr:col>
      <xdr:colOff>1289897</xdr:colOff>
      <xdr:row>0</xdr:row>
      <xdr:rowOff>27516</xdr:rowOff>
    </xdr:from>
    <xdr:to>
      <xdr:col>1</xdr:col>
      <xdr:colOff>224367</xdr:colOff>
      <xdr:row>3</xdr:row>
      <xdr:rowOff>98777</xdr:rowOff>
    </xdr:to>
    <xdr:sp macro="" textlink="">
      <xdr:nvSpPr>
        <xdr:cNvPr id="3" name="ZoneTexte 2">
          <a:hlinkClick xmlns:r="http://schemas.openxmlformats.org/officeDocument/2006/relationships" r:id="rId2"/>
          <a:extLst>
            <a:ext uri="{FF2B5EF4-FFF2-40B4-BE49-F238E27FC236}">
              <a16:creationId xmlns:a16="http://schemas.microsoft.com/office/drawing/2014/main" id="{EC236AC3-68CE-4CF7-B1C5-6183BF53DFE1}"/>
            </a:ext>
          </a:extLst>
        </xdr:cNvPr>
        <xdr:cNvSpPr txBox="1"/>
      </xdr:nvSpPr>
      <xdr:spPr>
        <a:xfrm>
          <a:off x="1287992" y="25611"/>
          <a:ext cx="1734820" cy="517031"/>
        </a:xfrm>
        <a:prstGeom prst="rect">
          <a:avLst/>
        </a:prstGeom>
        <a:ln/>
      </xdr:spPr>
      <xdr:style>
        <a:lnRef idx="0">
          <a:schemeClr val="accent5"/>
        </a:lnRef>
        <a:fillRef idx="3">
          <a:schemeClr val="accent5"/>
        </a:fillRef>
        <a:effectRef idx="3">
          <a:schemeClr val="accent5"/>
        </a:effectRef>
        <a:fontRef idx="minor">
          <a:schemeClr val="lt1"/>
        </a:fontRef>
      </xdr:style>
      <xdr:txBody>
        <a:bodyPr vertOverflow="clip" horzOverflow="clip" wrap="square" rtlCol="0" anchor="t"/>
        <a:lstStyle/>
        <a:p>
          <a:pPr algn="ctr"/>
          <a:r>
            <a:rPr lang="fr-FR" sz="1200"/>
            <a:t>Vos résultats (</a:t>
          </a:r>
          <a:r>
            <a:rPr lang="fr-FR" sz="1200" b="1" i="1"/>
            <a:t>maquette</a:t>
          </a:r>
          <a:r>
            <a:rPr lang="fr-FR" sz="1200"/>
            <a:t>)</a:t>
          </a:r>
        </a:p>
      </xdr:txBody>
    </xdr:sp>
    <xdr:clientData/>
  </xdr:twoCellAnchor>
  <xdr:twoCellAnchor>
    <xdr:from>
      <xdr:col>3</xdr:col>
      <xdr:colOff>27728</xdr:colOff>
      <xdr:row>0</xdr:row>
      <xdr:rowOff>0</xdr:rowOff>
    </xdr:from>
    <xdr:to>
      <xdr:col>3</xdr:col>
      <xdr:colOff>3734222</xdr:colOff>
      <xdr:row>3</xdr:row>
      <xdr:rowOff>146262</xdr:rowOff>
    </xdr:to>
    <xdr:sp macro="" textlink="">
      <xdr:nvSpPr>
        <xdr:cNvPr id="4" name="ZoneTexte 3">
          <a:extLst>
            <a:ext uri="{FF2B5EF4-FFF2-40B4-BE49-F238E27FC236}">
              <a16:creationId xmlns:a16="http://schemas.microsoft.com/office/drawing/2014/main" id="{F2E73997-E06D-4C27-AF23-E15BC6C392EC}"/>
            </a:ext>
          </a:extLst>
        </xdr:cNvPr>
        <xdr:cNvSpPr txBox="1"/>
      </xdr:nvSpPr>
      <xdr:spPr>
        <a:xfrm>
          <a:off x="3750098" y="0"/>
          <a:ext cx="3708399" cy="592032"/>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i="1"/>
            <a:t>Ceci</a:t>
          </a:r>
          <a:r>
            <a:rPr lang="fr-FR" sz="1000" i="1" baseline="0"/>
            <a:t> est un exemple renseigné et représente votre onglet de saisie. Les cellules grisées sont à renseigner.</a:t>
          </a:r>
        </a:p>
        <a:p>
          <a:pPr marL="0" marR="0" lvl="0" indent="0" defTabSz="914400" eaLnBrk="1" fontAlgn="auto" latinLnBrk="0" hangingPunct="1">
            <a:lnSpc>
              <a:spcPct val="100000"/>
            </a:lnSpc>
            <a:spcBef>
              <a:spcPts val="0"/>
            </a:spcBef>
            <a:spcAft>
              <a:spcPts val="0"/>
            </a:spcAft>
            <a:buClrTx/>
            <a:buSzTx/>
            <a:buFontTx/>
            <a:buNone/>
            <a:tabLst/>
            <a:defRPr/>
          </a:pPr>
          <a:r>
            <a:rPr lang="fr-FR" sz="1100" i="1" baseline="0">
              <a:solidFill>
                <a:schemeClr val="dk1"/>
              </a:solidFill>
              <a:effectLst/>
              <a:latin typeface="+mn-lt"/>
              <a:ea typeface="+mn-ea"/>
              <a:cs typeface="+mn-cs"/>
            </a:rPr>
            <a:t>La saisie N-1 s'effectue plus bas.</a:t>
          </a:r>
          <a:endParaRPr lang="fr-FR">
            <a:effectLst/>
          </a:endParaRPr>
        </a:p>
        <a:p>
          <a:endParaRPr lang="fr-FR" sz="1100" i="1" baseline="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57150</xdr:colOff>
      <xdr:row>0</xdr:row>
      <xdr:rowOff>123825</xdr:rowOff>
    </xdr:from>
    <xdr:to>
      <xdr:col>2</xdr:col>
      <xdr:colOff>1210236</xdr:colOff>
      <xdr:row>1</xdr:row>
      <xdr:rowOff>209550</xdr:rowOff>
    </xdr:to>
    <xdr:sp macro="" textlink="">
      <xdr:nvSpPr>
        <xdr:cNvPr id="3" name="ZoneTexte 2">
          <a:hlinkClick xmlns:r="http://schemas.openxmlformats.org/officeDocument/2006/relationships" r:id="rId1"/>
          <a:extLst>
            <a:ext uri="{FF2B5EF4-FFF2-40B4-BE49-F238E27FC236}">
              <a16:creationId xmlns:a16="http://schemas.microsoft.com/office/drawing/2014/main" id="{00000000-0008-0000-0400-000003000000}"/>
            </a:ext>
          </a:extLst>
        </xdr:cNvPr>
        <xdr:cNvSpPr txBox="1"/>
      </xdr:nvSpPr>
      <xdr:spPr>
        <a:xfrm>
          <a:off x="57150" y="123825"/>
          <a:ext cx="1343586" cy="466725"/>
        </a:xfrm>
        <a:prstGeom prst="rect">
          <a:avLst/>
        </a:prstGeom>
        <a:ln/>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ctr"/>
        <a:lstStyle/>
        <a:p>
          <a:pPr algn="ctr"/>
          <a:r>
            <a:rPr lang="fr-FR" sz="1400" b="1"/>
            <a:t>Retour</a:t>
          </a:r>
          <a:r>
            <a:rPr lang="fr-FR" sz="1400" b="1" baseline="0"/>
            <a:t> accueil</a:t>
          </a:r>
          <a:endParaRPr lang="fr-FR" sz="1400" b="1"/>
        </a:p>
      </xdr:txBody>
    </xdr:sp>
    <xdr:clientData/>
  </xdr:twoCellAnchor>
  <xdr:twoCellAnchor>
    <xdr:from>
      <xdr:col>2</xdr:col>
      <xdr:colOff>1409700</xdr:colOff>
      <xdr:row>0</xdr:row>
      <xdr:rowOff>133351</xdr:rowOff>
    </xdr:from>
    <xdr:to>
      <xdr:col>3</xdr:col>
      <xdr:colOff>1419225</xdr:colOff>
      <xdr:row>1</xdr:row>
      <xdr:rowOff>228601</xdr:rowOff>
    </xdr:to>
    <xdr:sp macro="" textlink="">
      <xdr:nvSpPr>
        <xdr:cNvPr id="4" name="ZoneTexte 3">
          <a:hlinkClick xmlns:r="http://schemas.openxmlformats.org/officeDocument/2006/relationships" r:id="rId2"/>
          <a:extLst>
            <a:ext uri="{FF2B5EF4-FFF2-40B4-BE49-F238E27FC236}">
              <a16:creationId xmlns:a16="http://schemas.microsoft.com/office/drawing/2014/main" id="{00000000-0008-0000-0400-000004000000}"/>
            </a:ext>
          </a:extLst>
        </xdr:cNvPr>
        <xdr:cNvSpPr txBox="1"/>
      </xdr:nvSpPr>
      <xdr:spPr>
        <a:xfrm>
          <a:off x="1600200" y="133351"/>
          <a:ext cx="2352675" cy="476250"/>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i="1"/>
            <a:t>Vos données</a:t>
          </a:r>
          <a:r>
            <a:rPr lang="fr-FR" sz="1100" i="1" baseline="0"/>
            <a:t> sont à renseigner dans l'onglet "SAISIE DES DONNEES PT " </a:t>
          </a:r>
          <a:r>
            <a:rPr lang="fr-FR" sz="1100" i="1" baseline="0">
              <a:sym typeface="Webdings" panose="05030102010509060703" pitchFamily="18" charset="2"/>
            </a:rPr>
            <a:t></a:t>
          </a:r>
          <a:endParaRPr lang="fr-FR" sz="1100" i="1" baseline="0"/>
        </a:p>
        <a:p>
          <a:endParaRPr lang="fr-FR" sz="1100" i="1" baseline="0"/>
        </a:p>
      </xdr:txBody>
    </xdr:sp>
    <xdr:clientData/>
  </xdr:twoCellAnchor>
  <xdr:twoCellAnchor>
    <xdr:from>
      <xdr:col>3</xdr:col>
      <xdr:colOff>276225</xdr:colOff>
      <xdr:row>8</xdr:row>
      <xdr:rowOff>742950</xdr:rowOff>
    </xdr:from>
    <xdr:to>
      <xdr:col>3</xdr:col>
      <xdr:colOff>2057400</xdr:colOff>
      <xdr:row>8</xdr:row>
      <xdr:rowOff>923926</xdr:rowOff>
    </xdr:to>
    <xdr:sp macro="" textlink="">
      <xdr:nvSpPr>
        <xdr:cNvPr id="5" name="ZoneTexte 4">
          <a:extLst>
            <a:ext uri="{FF2B5EF4-FFF2-40B4-BE49-F238E27FC236}">
              <a16:creationId xmlns:a16="http://schemas.microsoft.com/office/drawing/2014/main" id="{00000000-0008-0000-0400-000005000000}"/>
            </a:ext>
          </a:extLst>
        </xdr:cNvPr>
        <xdr:cNvSpPr txBox="1"/>
      </xdr:nvSpPr>
      <xdr:spPr>
        <a:xfrm>
          <a:off x="2809875" y="2638425"/>
          <a:ext cx="1619250" cy="180976"/>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fr-FR" sz="1000" i="1"/>
            <a:t>Ceci est un menu déroulant </a:t>
          </a:r>
          <a:r>
            <a:rPr lang="fr-FR" sz="1000" i="1">
              <a:sym typeface="Webdings" panose="05030102010509060703" pitchFamily="18" charset="2"/>
            </a:rPr>
            <a:t></a:t>
          </a:r>
          <a:endParaRPr lang="fr-FR" sz="1000" i="1"/>
        </a:p>
      </xdr:txBody>
    </xdr:sp>
    <xdr:clientData/>
  </xdr:twoCellAnchor>
  <xdr:twoCellAnchor>
    <xdr:from>
      <xdr:col>1</xdr:col>
      <xdr:colOff>57150</xdr:colOff>
      <xdr:row>0</xdr:row>
      <xdr:rowOff>123825</xdr:rowOff>
    </xdr:from>
    <xdr:to>
      <xdr:col>2</xdr:col>
      <xdr:colOff>1210236</xdr:colOff>
      <xdr:row>1</xdr:row>
      <xdr:rowOff>209550</xdr:rowOff>
    </xdr:to>
    <xdr:sp macro="" textlink="">
      <xdr:nvSpPr>
        <xdr:cNvPr id="6" name="ZoneTexte 5">
          <a:hlinkClick xmlns:r="http://schemas.openxmlformats.org/officeDocument/2006/relationships" r:id="rId1"/>
          <a:extLst>
            <a:ext uri="{FF2B5EF4-FFF2-40B4-BE49-F238E27FC236}">
              <a16:creationId xmlns:a16="http://schemas.microsoft.com/office/drawing/2014/main" id="{4CC188C1-C458-44EE-B462-1E560CF093FE}"/>
            </a:ext>
          </a:extLst>
        </xdr:cNvPr>
        <xdr:cNvSpPr txBox="1"/>
      </xdr:nvSpPr>
      <xdr:spPr>
        <a:xfrm>
          <a:off x="57150" y="123825"/>
          <a:ext cx="1351206" cy="466725"/>
        </a:xfrm>
        <a:prstGeom prst="rect">
          <a:avLst/>
        </a:prstGeom>
        <a:ln/>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ctr"/>
        <a:lstStyle/>
        <a:p>
          <a:pPr algn="ctr"/>
          <a:r>
            <a:rPr lang="fr-FR" sz="1400" b="1"/>
            <a:t>Retour</a:t>
          </a:r>
          <a:r>
            <a:rPr lang="fr-FR" sz="1400" b="1" baseline="0"/>
            <a:t> accueil</a:t>
          </a:r>
          <a:endParaRPr lang="fr-FR" sz="1400" b="1"/>
        </a:p>
      </xdr:txBody>
    </xdr:sp>
    <xdr:clientData/>
  </xdr:twoCellAnchor>
  <xdr:twoCellAnchor>
    <xdr:from>
      <xdr:col>1</xdr:col>
      <xdr:colOff>199801</xdr:colOff>
      <xdr:row>81</xdr:row>
      <xdr:rowOff>144894</xdr:rowOff>
    </xdr:from>
    <xdr:to>
      <xdr:col>5</xdr:col>
      <xdr:colOff>44823</xdr:colOff>
      <xdr:row>98</xdr:row>
      <xdr:rowOff>134472</xdr:rowOff>
    </xdr:to>
    <xdr:graphicFrame macro="">
      <xdr:nvGraphicFramePr>
        <xdr:cNvPr id="11" name="Graphique 10">
          <a:extLst>
            <a:ext uri="{FF2B5EF4-FFF2-40B4-BE49-F238E27FC236}">
              <a16:creationId xmlns:a16="http://schemas.microsoft.com/office/drawing/2014/main" id="{76C05DA8-142D-46B9-0EB4-8D6B51B08F4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519167</xdr:colOff>
      <xdr:row>81</xdr:row>
      <xdr:rowOff>171112</xdr:rowOff>
    </xdr:from>
    <xdr:to>
      <xdr:col>17</xdr:col>
      <xdr:colOff>900279</xdr:colOff>
      <xdr:row>98</xdr:row>
      <xdr:rowOff>104661</xdr:rowOff>
    </xdr:to>
    <mc:AlternateContent xmlns:mc="http://schemas.openxmlformats.org/markup-compatibility/2006">
      <mc:Choice xmlns:cx1="http://schemas.microsoft.com/office/drawing/2015/9/8/chartex" Requires="cx1">
        <xdr:graphicFrame macro="">
          <xdr:nvGraphicFramePr>
            <xdr:cNvPr id="10" name="Graphique 9">
              <a:extLst>
                <a:ext uri="{FF2B5EF4-FFF2-40B4-BE49-F238E27FC236}">
                  <a16:creationId xmlns:a16="http://schemas.microsoft.com/office/drawing/2014/main" id="{0CFE5CEA-FECE-4EB1-8464-216C0584C0D8}"/>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4"/>
            </a:graphicData>
          </a:graphic>
        </xdr:graphicFrame>
      </mc:Choice>
      <mc:Fallback>
        <xdr:sp macro="" textlink="">
          <xdr:nvSpPr>
            <xdr:cNvPr id="0" name=""/>
            <xdr:cNvSpPr>
              <a:spLocks noTextEdit="1"/>
            </xdr:cNvSpPr>
          </xdr:nvSpPr>
          <xdr:spPr>
            <a:xfrm>
              <a:off x="6125582" y="18834397"/>
              <a:ext cx="7810612" cy="3328259"/>
            </a:xfrm>
            <a:prstGeom prst="rect">
              <a:avLst/>
            </a:prstGeom>
            <a:solidFill>
              <a:prstClr val="white"/>
            </a:solidFill>
            <a:ln w="1">
              <a:solidFill>
                <a:prstClr val="green"/>
              </a:solidFill>
            </a:ln>
          </xdr:spPr>
          <xdr:txBody>
            <a:bodyPr vertOverflow="clip" horzOverflow="clip"/>
            <a:lstStyle/>
            <a:p>
              <a:r>
                <a:rPr lang="fr-FR" sz="1100"/>
                <a:t>Ce graphique n’est pas disponible dans votre version d’Excel.
La modification de cette forme ou l’enregistrement de ce classeur dans un autre format de fichier endommagera le graphique de façon irréparable.</a:t>
              </a:r>
            </a:p>
          </xdr:txBody>
        </xdr:sp>
      </mc:Fallback>
    </mc:AlternateContent>
    <xdr:clientData/>
  </xdr:twoCellAnchor>
</xdr:wsDr>
</file>

<file path=xl/drawings/drawing5.xml><?xml version="1.0" encoding="utf-8"?>
<xdr:wsDr xmlns:xdr="http://schemas.openxmlformats.org/drawingml/2006/spreadsheetDrawing" xmlns:a="http://schemas.openxmlformats.org/drawingml/2006/main">
  <xdr:twoCellAnchor>
    <xdr:from>
      <xdr:col>7</xdr:col>
      <xdr:colOff>214312</xdr:colOff>
      <xdr:row>14</xdr:row>
      <xdr:rowOff>9525</xdr:rowOff>
    </xdr:from>
    <xdr:to>
      <xdr:col>12</xdr:col>
      <xdr:colOff>214312</xdr:colOff>
      <xdr:row>31</xdr:row>
      <xdr:rowOff>0</xdr:rowOff>
    </xdr:to>
    <mc:AlternateContent xmlns:mc="http://schemas.openxmlformats.org/markup-compatibility/2006">
      <mc:Choice xmlns:cx1="http://schemas.microsoft.com/office/drawing/2015/9/8/chartex" Requires="cx1">
        <xdr:graphicFrame macro="">
          <xdr:nvGraphicFramePr>
            <xdr:cNvPr id="2" name="Graphique 1">
              <a:extLst>
                <a:ext uri="{FF2B5EF4-FFF2-40B4-BE49-F238E27FC236}">
                  <a16:creationId xmlns:a16="http://schemas.microsoft.com/office/drawing/2014/main" id="{D64CFC13-B924-45E4-9ED4-17EA6AD781E9}"/>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6611302" y="2278380"/>
              <a:ext cx="4572000" cy="2741295"/>
            </a:xfrm>
            <a:prstGeom prst="rect">
              <a:avLst/>
            </a:prstGeom>
            <a:solidFill>
              <a:prstClr val="white"/>
            </a:solidFill>
            <a:ln w="1">
              <a:solidFill>
                <a:prstClr val="green"/>
              </a:solidFill>
            </a:ln>
          </xdr:spPr>
          <xdr:txBody>
            <a:bodyPr vertOverflow="clip" horzOverflow="clip"/>
            <a:lstStyle/>
            <a:p>
              <a:r>
                <a:rPr lang="fr-FR" sz="1100"/>
                <a:t>Ce graphique n’est pas disponible dans votre version d’Excel.
La modification de cette forme ou l’enregistrement de ce classeur dans un autre format de fichier endommagera le graphique de façon irréparable.</a:t>
              </a:r>
            </a:p>
          </xdr:txBody>
        </xdr:sp>
      </mc:Fallback>
    </mc:AlternateContent>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ertc.atih.sante.fr/" TargetMode="External"/><Relationship Id="rId2" Type="http://schemas.openxmlformats.org/officeDocument/2006/relationships/hyperlink" Target="https://www.scansante.fr/applications/cout-dunites-doeuvre" TargetMode="External"/><Relationship Id="rId1" Type="http://schemas.openxmlformats.org/officeDocument/2006/relationships/hyperlink" Target="https://hospidiag.atih.sante.fr/"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B2:M109"/>
  <sheetViews>
    <sheetView showGridLines="0" tabSelected="1" zoomScale="115" zoomScaleNormal="115" workbookViewId="0">
      <selection activeCell="D35" sqref="D35"/>
    </sheetView>
  </sheetViews>
  <sheetFormatPr baseColWidth="10" defaultColWidth="10.6328125" defaultRowHeight="12.6"/>
  <cols>
    <col min="1" max="1" width="3.26953125" style="83" customWidth="1"/>
    <col min="2" max="2" width="17.453125" style="83" customWidth="1"/>
    <col min="3" max="16384" width="10.6328125" style="83"/>
  </cols>
  <sheetData>
    <row r="2" spans="2:11" ht="40.5" customHeight="1">
      <c r="B2" s="241" t="s">
        <v>123</v>
      </c>
      <c r="C2" s="241"/>
      <c r="D2" s="241"/>
      <c r="E2" s="241"/>
      <c r="F2" s="241"/>
      <c r="G2" s="241"/>
      <c r="H2" s="241"/>
      <c r="I2" s="241"/>
      <c r="J2" s="241"/>
      <c r="K2" s="241"/>
    </row>
    <row r="4" spans="2:11" ht="19.8">
      <c r="B4" s="238" t="s">
        <v>7</v>
      </c>
      <c r="C4" s="239"/>
      <c r="D4" s="239"/>
      <c r="E4" s="239"/>
      <c r="F4" s="239"/>
      <c r="G4" s="239"/>
      <c r="H4" s="239"/>
      <c r="I4" s="239"/>
      <c r="J4" s="239"/>
      <c r="K4" s="240"/>
    </row>
    <row r="5" spans="2:11" ht="15">
      <c r="B5" s="98" t="s">
        <v>20</v>
      </c>
      <c r="D5" s="111" t="s">
        <v>8</v>
      </c>
      <c r="E5" s="139" t="s">
        <v>124</v>
      </c>
      <c r="F5" s="111" t="s">
        <v>9</v>
      </c>
      <c r="G5" s="139" t="s">
        <v>124</v>
      </c>
      <c r="H5" s="111" t="s">
        <v>10</v>
      </c>
      <c r="I5" s="139" t="s">
        <v>124</v>
      </c>
      <c r="J5" s="111" t="s">
        <v>11</v>
      </c>
      <c r="K5" s="141" t="s">
        <v>124</v>
      </c>
    </row>
    <row r="6" spans="2:11" ht="7.95" customHeight="1">
      <c r="B6" s="98"/>
      <c r="K6" s="114"/>
    </row>
    <row r="7" spans="2:11" ht="15">
      <c r="B7" s="98" t="s">
        <v>21</v>
      </c>
      <c r="D7" s="115" t="s">
        <v>16</v>
      </c>
      <c r="E7" s="116" t="s">
        <v>12</v>
      </c>
      <c r="F7" s="117" t="s">
        <v>13</v>
      </c>
      <c r="G7" s="139" t="s">
        <v>124</v>
      </c>
      <c r="H7" s="117" t="s">
        <v>14</v>
      </c>
      <c r="I7" s="116" t="s">
        <v>12</v>
      </c>
      <c r="J7" s="117" t="s">
        <v>15</v>
      </c>
      <c r="K7" s="113" t="s">
        <v>95</v>
      </c>
    </row>
    <row r="8" spans="2:11" ht="7.95" customHeight="1">
      <c r="B8" s="98"/>
      <c r="K8" s="114"/>
    </row>
    <row r="9" spans="2:11" ht="15">
      <c r="B9" s="98" t="s">
        <v>22</v>
      </c>
      <c r="D9" s="111" t="s">
        <v>17</v>
      </c>
      <c r="E9" s="112" t="s">
        <v>95</v>
      </c>
      <c r="F9" s="111" t="s">
        <v>18</v>
      </c>
      <c r="G9" s="116" t="s">
        <v>12</v>
      </c>
      <c r="K9" s="114"/>
    </row>
    <row r="10" spans="2:11" ht="7.95" customHeight="1">
      <c r="B10" s="98"/>
      <c r="D10" s="117"/>
      <c r="E10" s="116"/>
      <c r="F10" s="117"/>
      <c r="G10" s="116"/>
      <c r="K10" s="114"/>
    </row>
    <row r="11" spans="2:11" s="99" customFormat="1" ht="25.2">
      <c r="B11" s="100" t="s">
        <v>24</v>
      </c>
      <c r="D11" s="118" t="s">
        <v>23</v>
      </c>
      <c r="E11" s="116" t="s">
        <v>124</v>
      </c>
      <c r="F11" s="118" t="s">
        <v>25</v>
      </c>
      <c r="G11" s="116" t="s">
        <v>124</v>
      </c>
      <c r="H11" s="118" t="s">
        <v>26</v>
      </c>
      <c r="I11" s="116" t="s">
        <v>124</v>
      </c>
      <c r="J11" s="118" t="s">
        <v>27</v>
      </c>
      <c r="K11" s="142" t="s">
        <v>124</v>
      </c>
    </row>
    <row r="12" spans="2:11" ht="7.95" customHeight="1">
      <c r="B12" s="98"/>
      <c r="D12" s="117"/>
      <c r="E12" s="116"/>
      <c r="F12" s="117"/>
      <c r="G12" s="116"/>
      <c r="K12" s="114"/>
    </row>
    <row r="13" spans="2:11" ht="15" customHeight="1">
      <c r="B13" s="101" t="s">
        <v>19</v>
      </c>
      <c r="C13" s="248" t="s">
        <v>116</v>
      </c>
      <c r="D13" s="248"/>
      <c r="E13" s="248"/>
      <c r="F13" s="248"/>
      <c r="G13" s="248"/>
      <c r="H13" s="248"/>
      <c r="I13" s="248"/>
      <c r="J13" s="248"/>
      <c r="K13" s="249"/>
    </row>
    <row r="14" spans="2:11" ht="15" customHeight="1">
      <c r="B14" s="98"/>
      <c r="C14" s="248"/>
      <c r="D14" s="248"/>
      <c r="E14" s="248"/>
      <c r="F14" s="248"/>
      <c r="G14" s="248"/>
      <c r="H14" s="248"/>
      <c r="I14" s="248"/>
      <c r="J14" s="248"/>
      <c r="K14" s="249"/>
    </row>
    <row r="15" spans="2:11">
      <c r="B15" s="98"/>
      <c r="C15" s="248"/>
      <c r="D15" s="248"/>
      <c r="E15" s="248"/>
      <c r="F15" s="248"/>
      <c r="G15" s="248"/>
      <c r="H15" s="248"/>
      <c r="I15" s="248"/>
      <c r="J15" s="248"/>
      <c r="K15" s="249"/>
    </row>
    <row r="16" spans="2:11" ht="7.95" customHeight="1" thickBot="1">
      <c r="B16" s="102"/>
      <c r="C16" s="103"/>
      <c r="D16" s="103"/>
      <c r="E16" s="103"/>
      <c r="F16" s="103"/>
      <c r="G16" s="103"/>
      <c r="H16" s="103"/>
      <c r="I16" s="103"/>
      <c r="J16" s="103"/>
      <c r="K16" s="104"/>
    </row>
    <row r="17" spans="2:11" ht="13.2" thickTop="1"/>
    <row r="18" spans="2:11" ht="19.8">
      <c r="B18" s="238" t="s">
        <v>0</v>
      </c>
      <c r="C18" s="239"/>
      <c r="D18" s="239"/>
      <c r="E18" s="239"/>
      <c r="F18" s="239"/>
      <c r="G18" s="239"/>
      <c r="H18" s="239"/>
      <c r="I18" s="239"/>
      <c r="J18" s="239"/>
      <c r="K18" s="240"/>
    </row>
    <row r="19" spans="2:11">
      <c r="B19" s="242" t="s">
        <v>240</v>
      </c>
      <c r="C19" s="243"/>
      <c r="D19" s="243"/>
      <c r="E19" s="243"/>
      <c r="F19" s="243"/>
      <c r="G19" s="243"/>
      <c r="H19" s="243"/>
      <c r="I19" s="243"/>
      <c r="J19" s="243"/>
      <c r="K19" s="244"/>
    </row>
    <row r="20" spans="2:11">
      <c r="B20" s="242"/>
      <c r="C20" s="243"/>
      <c r="D20" s="243"/>
      <c r="E20" s="243"/>
      <c r="F20" s="243"/>
      <c r="G20" s="243"/>
      <c r="H20" s="243"/>
      <c r="I20" s="243"/>
      <c r="J20" s="243"/>
      <c r="K20" s="244"/>
    </row>
    <row r="21" spans="2:11">
      <c r="B21" s="242"/>
      <c r="C21" s="243"/>
      <c r="D21" s="243"/>
      <c r="E21" s="243"/>
      <c r="F21" s="243"/>
      <c r="G21" s="243"/>
      <c r="H21" s="243"/>
      <c r="I21" s="243"/>
      <c r="J21" s="243"/>
      <c r="K21" s="244"/>
    </row>
    <row r="22" spans="2:11" ht="13.2" thickBot="1">
      <c r="B22" s="245"/>
      <c r="C22" s="246"/>
      <c r="D22" s="246"/>
      <c r="E22" s="246"/>
      <c r="F22" s="246"/>
      <c r="G22" s="246"/>
      <c r="H22" s="246"/>
      <c r="I22" s="246"/>
      <c r="J22" s="246"/>
      <c r="K22" s="247"/>
    </row>
    <row r="23" spans="2:11" ht="13.2" thickTop="1"/>
    <row r="24" spans="2:11" ht="19.8">
      <c r="B24" s="238" t="s">
        <v>1</v>
      </c>
      <c r="C24" s="239"/>
      <c r="D24" s="239"/>
      <c r="E24" s="239"/>
      <c r="F24" s="239"/>
      <c r="G24" s="239"/>
      <c r="H24" s="239"/>
      <c r="I24" s="239"/>
      <c r="J24" s="239"/>
      <c r="K24" s="240"/>
    </row>
    <row r="25" spans="2:11">
      <c r="B25" s="225" t="s">
        <v>241</v>
      </c>
      <c r="C25" s="226"/>
      <c r="D25" s="226"/>
      <c r="E25" s="226"/>
      <c r="F25" s="226"/>
      <c r="G25" s="226"/>
      <c r="H25" s="226"/>
      <c r="I25" s="226"/>
      <c r="J25" s="226"/>
      <c r="K25" s="227"/>
    </row>
    <row r="26" spans="2:11">
      <c r="B26" s="228"/>
      <c r="C26" s="226"/>
      <c r="D26" s="226"/>
      <c r="E26" s="226"/>
      <c r="F26" s="226"/>
      <c r="G26" s="226"/>
      <c r="H26" s="226"/>
      <c r="I26" s="226"/>
      <c r="J26" s="226"/>
      <c r="K26" s="227"/>
    </row>
    <row r="27" spans="2:11">
      <c r="B27" s="228"/>
      <c r="C27" s="226"/>
      <c r="D27" s="226"/>
      <c r="E27" s="226"/>
      <c r="F27" s="226"/>
      <c r="G27" s="226"/>
      <c r="H27" s="226"/>
      <c r="I27" s="226"/>
      <c r="J27" s="226"/>
      <c r="K27" s="227"/>
    </row>
    <row r="28" spans="2:11">
      <c r="B28" s="228"/>
      <c r="C28" s="226"/>
      <c r="D28" s="226"/>
      <c r="E28" s="226"/>
      <c r="F28" s="226"/>
      <c r="G28" s="226"/>
      <c r="H28" s="226"/>
      <c r="I28" s="226"/>
      <c r="J28" s="226"/>
      <c r="K28" s="227"/>
    </row>
    <row r="29" spans="2:11">
      <c r="B29" s="228"/>
      <c r="C29" s="226"/>
      <c r="D29" s="226"/>
      <c r="E29" s="226"/>
      <c r="F29" s="226"/>
      <c r="G29" s="226"/>
      <c r="H29" s="226"/>
      <c r="I29" s="226"/>
      <c r="J29" s="226"/>
      <c r="K29" s="227"/>
    </row>
    <row r="30" spans="2:11">
      <c r="B30" s="228"/>
      <c r="C30" s="226"/>
      <c r="D30" s="226"/>
      <c r="E30" s="226"/>
      <c r="F30" s="226"/>
      <c r="G30" s="226"/>
      <c r="H30" s="226"/>
      <c r="I30" s="226"/>
      <c r="J30" s="226"/>
      <c r="K30" s="227"/>
    </row>
    <row r="31" spans="2:11">
      <c r="B31" s="228"/>
      <c r="C31" s="226"/>
      <c r="D31" s="226"/>
      <c r="E31" s="226"/>
      <c r="F31" s="226"/>
      <c r="G31" s="226"/>
      <c r="H31" s="226"/>
      <c r="I31" s="226"/>
      <c r="J31" s="226"/>
      <c r="K31" s="227"/>
    </row>
    <row r="32" spans="2:11">
      <c r="B32" s="228"/>
      <c r="C32" s="226"/>
      <c r="D32" s="226"/>
      <c r="E32" s="226"/>
      <c r="F32" s="226"/>
      <c r="G32" s="226"/>
      <c r="H32" s="226"/>
      <c r="I32" s="226"/>
      <c r="J32" s="226"/>
      <c r="K32" s="227"/>
    </row>
    <row r="33" spans="2:11">
      <c r="B33" s="228"/>
      <c r="C33" s="226"/>
      <c r="D33" s="226"/>
      <c r="E33" s="226"/>
      <c r="F33" s="226"/>
      <c r="G33" s="226"/>
      <c r="H33" s="226"/>
      <c r="I33" s="226"/>
      <c r="J33" s="226"/>
      <c r="K33" s="227"/>
    </row>
    <row r="34" spans="2:11" ht="13.2" thickBot="1">
      <c r="B34" s="229"/>
      <c r="C34" s="230"/>
      <c r="D34" s="230"/>
      <c r="E34" s="230"/>
      <c r="F34" s="230"/>
      <c r="G34" s="230"/>
      <c r="H34" s="230"/>
      <c r="I34" s="230"/>
      <c r="J34" s="230"/>
      <c r="K34" s="231"/>
    </row>
    <row r="35" spans="2:11" ht="13.2" thickTop="1"/>
    <row r="36" spans="2:11" ht="19.8">
      <c r="B36" s="238" t="s">
        <v>2</v>
      </c>
      <c r="C36" s="239"/>
      <c r="D36" s="239"/>
      <c r="E36" s="239"/>
      <c r="F36" s="239"/>
      <c r="G36" s="239"/>
      <c r="H36" s="239"/>
      <c r="I36" s="239"/>
      <c r="J36" s="239"/>
      <c r="K36" s="240"/>
    </row>
    <row r="37" spans="2:11" ht="13.5" customHeight="1">
      <c r="B37" s="232" t="s">
        <v>239</v>
      </c>
      <c r="C37" s="233"/>
      <c r="D37" s="233"/>
      <c r="E37" s="233"/>
      <c r="F37" s="233"/>
      <c r="G37" s="233"/>
      <c r="H37" s="233"/>
      <c r="I37" s="233"/>
      <c r="J37" s="233"/>
      <c r="K37" s="234"/>
    </row>
    <row r="38" spans="2:11">
      <c r="B38" s="232"/>
      <c r="C38" s="233"/>
      <c r="D38" s="233"/>
      <c r="E38" s="233"/>
      <c r="F38" s="233"/>
      <c r="G38" s="233"/>
      <c r="H38" s="233"/>
      <c r="I38" s="233"/>
      <c r="J38" s="233"/>
      <c r="K38" s="234"/>
    </row>
    <row r="39" spans="2:11">
      <c r="B39" s="232"/>
      <c r="C39" s="233"/>
      <c r="D39" s="233"/>
      <c r="E39" s="233"/>
      <c r="F39" s="233"/>
      <c r="G39" s="233"/>
      <c r="H39" s="233"/>
      <c r="I39" s="233"/>
      <c r="J39" s="233"/>
      <c r="K39" s="234"/>
    </row>
    <row r="40" spans="2:11">
      <c r="B40" s="232"/>
      <c r="C40" s="233"/>
      <c r="D40" s="233"/>
      <c r="E40" s="233"/>
      <c r="F40" s="233"/>
      <c r="G40" s="233"/>
      <c r="H40" s="233"/>
      <c r="I40" s="233"/>
      <c r="J40" s="233"/>
      <c r="K40" s="234"/>
    </row>
    <row r="41" spans="2:11">
      <c r="B41" s="232"/>
      <c r="C41" s="233"/>
      <c r="D41" s="233"/>
      <c r="E41" s="233"/>
      <c r="F41" s="233"/>
      <c r="G41" s="233"/>
      <c r="H41" s="233"/>
      <c r="I41" s="233"/>
      <c r="J41" s="233"/>
      <c r="K41" s="234"/>
    </row>
    <row r="42" spans="2:11">
      <c r="B42" s="232"/>
      <c r="C42" s="233"/>
      <c r="D42" s="233"/>
      <c r="E42" s="233"/>
      <c r="F42" s="233"/>
      <c r="G42" s="233"/>
      <c r="H42" s="233"/>
      <c r="I42" s="233"/>
      <c r="J42" s="233"/>
      <c r="K42" s="234"/>
    </row>
    <row r="43" spans="2:11">
      <c r="B43" s="232"/>
      <c r="C43" s="233"/>
      <c r="D43" s="233"/>
      <c r="E43" s="233"/>
      <c r="F43" s="233"/>
      <c r="G43" s="233"/>
      <c r="H43" s="233"/>
      <c r="I43" s="233"/>
      <c r="J43" s="233"/>
      <c r="K43" s="234"/>
    </row>
    <row r="44" spans="2:11">
      <c r="B44" s="122" t="s">
        <v>117</v>
      </c>
      <c r="C44" s="123"/>
      <c r="D44" s="123"/>
      <c r="E44" s="123"/>
      <c r="F44" s="123"/>
      <c r="G44" s="123"/>
      <c r="H44" s="123"/>
      <c r="I44" s="123"/>
      <c r="J44" s="123"/>
      <c r="K44" s="124"/>
    </row>
    <row r="45" spans="2:11">
      <c r="B45" s="125" t="s">
        <v>96</v>
      </c>
      <c r="C45" s="123"/>
      <c r="D45" s="123"/>
      <c r="E45" s="123"/>
      <c r="F45" s="123"/>
      <c r="G45" s="123"/>
      <c r="H45" s="123"/>
      <c r="I45" s="123"/>
      <c r="J45" s="123"/>
      <c r="K45" s="124"/>
    </row>
    <row r="46" spans="2:11" ht="24.6" customHeight="1">
      <c r="B46" s="235" t="s">
        <v>97</v>
      </c>
      <c r="C46" s="236"/>
      <c r="D46" s="236"/>
      <c r="E46" s="236"/>
      <c r="F46" s="236"/>
      <c r="G46" s="236"/>
      <c r="H46" s="236"/>
      <c r="I46" s="236"/>
      <c r="J46" s="236"/>
      <c r="K46" s="237"/>
    </row>
    <row r="47" spans="2:11">
      <c r="B47" s="125" t="s">
        <v>84</v>
      </c>
      <c r="C47" s="123"/>
      <c r="D47" s="123"/>
      <c r="E47" s="123"/>
      <c r="F47" s="123"/>
      <c r="G47" s="123"/>
      <c r="H47" s="123"/>
      <c r="I47" s="123"/>
      <c r="J47" s="123"/>
      <c r="K47" s="124"/>
    </row>
    <row r="48" spans="2:11">
      <c r="B48" s="125" t="s">
        <v>85</v>
      </c>
      <c r="C48" s="123"/>
      <c r="D48" s="123"/>
      <c r="E48" s="123"/>
      <c r="F48" s="123"/>
      <c r="G48" s="123"/>
      <c r="H48" s="123"/>
      <c r="I48" s="123"/>
      <c r="J48" s="123"/>
      <c r="K48" s="124"/>
    </row>
    <row r="49" spans="2:11">
      <c r="B49" s="125" t="s">
        <v>86</v>
      </c>
      <c r="C49" s="123"/>
      <c r="D49" s="123"/>
      <c r="E49" s="123"/>
      <c r="F49" s="123"/>
      <c r="G49" s="123"/>
      <c r="H49" s="123"/>
      <c r="I49" s="123"/>
      <c r="J49" s="123"/>
      <c r="K49" s="124"/>
    </row>
    <row r="50" spans="2:11">
      <c r="B50" s="125" t="s">
        <v>87</v>
      </c>
      <c r="C50" s="123"/>
      <c r="D50" s="123"/>
      <c r="E50" s="123"/>
      <c r="F50" s="123"/>
      <c r="G50" s="123"/>
      <c r="H50" s="123"/>
      <c r="I50" s="123"/>
      <c r="J50" s="123"/>
      <c r="K50" s="124"/>
    </row>
    <row r="51" spans="2:11">
      <c r="B51" s="171" t="s">
        <v>236</v>
      </c>
      <c r="C51" s="123"/>
      <c r="D51" s="123"/>
      <c r="E51" s="123"/>
      <c r="F51" s="123"/>
      <c r="G51" s="123"/>
      <c r="H51" s="123"/>
      <c r="I51" s="123"/>
      <c r="J51" s="123"/>
      <c r="K51" s="124"/>
    </row>
    <row r="52" spans="2:11" ht="13.2" thickBot="1">
      <c r="B52" s="126"/>
      <c r="C52" s="127"/>
      <c r="D52" s="127"/>
      <c r="E52" s="127"/>
      <c r="F52" s="127"/>
      <c r="G52" s="127"/>
      <c r="H52" s="127"/>
      <c r="I52" s="127"/>
      <c r="J52" s="127"/>
      <c r="K52" s="128"/>
    </row>
    <row r="53" spans="2:11" ht="13.2" thickTop="1"/>
    <row r="54" spans="2:11" ht="19.8">
      <c r="B54" s="238" t="s">
        <v>3</v>
      </c>
      <c r="C54" s="239"/>
      <c r="D54" s="239"/>
      <c r="E54" s="239"/>
      <c r="F54" s="239"/>
      <c r="G54" s="239"/>
      <c r="H54" s="239"/>
      <c r="I54" s="239"/>
      <c r="J54" s="239"/>
      <c r="K54" s="240"/>
    </row>
    <row r="55" spans="2:11" s="108" customFormat="1">
      <c r="B55" s="109" t="s">
        <v>118</v>
      </c>
      <c r="C55" s="130"/>
      <c r="D55" s="130"/>
      <c r="E55" s="130"/>
      <c r="F55" s="130"/>
      <c r="G55" s="130"/>
      <c r="H55" s="130"/>
      <c r="I55" s="130"/>
      <c r="J55" s="130"/>
      <c r="K55" s="110"/>
    </row>
    <row r="56" spans="2:11" ht="58.8" customHeight="1">
      <c r="B56" s="250" t="s">
        <v>242</v>
      </c>
      <c r="C56" s="251"/>
      <c r="D56" s="251"/>
      <c r="E56" s="251"/>
      <c r="F56" s="251"/>
      <c r="G56" s="251"/>
      <c r="H56" s="251"/>
      <c r="I56" s="251"/>
      <c r="J56" s="251"/>
      <c r="K56" s="252"/>
    </row>
    <row r="57" spans="2:11" ht="46.8" customHeight="1">
      <c r="B57" s="250" t="s">
        <v>237</v>
      </c>
      <c r="C57" s="251"/>
      <c r="D57" s="251"/>
      <c r="E57" s="251"/>
      <c r="F57" s="251"/>
      <c r="G57" s="251"/>
      <c r="H57" s="251"/>
      <c r="I57" s="251"/>
      <c r="J57" s="251"/>
      <c r="K57" s="252"/>
    </row>
    <row r="58" spans="2:11" ht="21.6" customHeight="1">
      <c r="B58" s="263" t="s">
        <v>238</v>
      </c>
      <c r="C58" s="264"/>
      <c r="D58" s="264"/>
      <c r="E58" s="264"/>
      <c r="F58" s="264"/>
      <c r="G58" s="264"/>
      <c r="H58" s="264"/>
      <c r="I58" s="264"/>
      <c r="J58" s="264"/>
      <c r="K58" s="265"/>
    </row>
    <row r="59" spans="2:11">
      <c r="B59" s="257"/>
      <c r="C59" s="258"/>
      <c r="D59" s="258"/>
      <c r="E59" s="258"/>
      <c r="F59" s="258"/>
      <c r="G59" s="258"/>
      <c r="H59" s="258"/>
      <c r="I59" s="258"/>
      <c r="J59" s="258"/>
      <c r="K59" s="259"/>
    </row>
    <row r="60" spans="2:11">
      <c r="B60" s="129"/>
      <c r="C60" s="120"/>
      <c r="D60" s="120"/>
      <c r="E60" s="120"/>
      <c r="F60" s="120"/>
      <c r="G60" s="120"/>
      <c r="H60" s="120"/>
      <c r="I60" s="120"/>
      <c r="J60" s="120"/>
      <c r="K60" s="121"/>
    </row>
    <row r="61" spans="2:11">
      <c r="B61" s="122" t="s">
        <v>106</v>
      </c>
      <c r="C61" s="123"/>
      <c r="D61" s="123"/>
      <c r="E61" s="123"/>
      <c r="F61" s="123"/>
      <c r="G61" s="123"/>
      <c r="H61" s="123"/>
      <c r="I61" s="123"/>
      <c r="J61" s="123"/>
      <c r="K61" s="124"/>
    </row>
    <row r="62" spans="2:11">
      <c r="B62" s="122" t="s">
        <v>105</v>
      </c>
      <c r="C62" s="123"/>
      <c r="D62" s="123"/>
      <c r="E62" s="123"/>
      <c r="F62" s="123"/>
      <c r="G62" s="123"/>
      <c r="H62" s="123"/>
      <c r="I62" s="123"/>
      <c r="J62" s="123"/>
      <c r="K62" s="124"/>
    </row>
    <row r="63" spans="2:11">
      <c r="B63" s="122" t="s">
        <v>98</v>
      </c>
      <c r="C63" s="120"/>
      <c r="D63" s="120"/>
      <c r="E63" s="120"/>
      <c r="F63" s="120"/>
      <c r="G63" s="120"/>
      <c r="H63" s="120"/>
      <c r="I63" s="120"/>
      <c r="J63" s="120"/>
      <c r="K63" s="121"/>
    </row>
    <row r="64" spans="2:11">
      <c r="B64" s="122"/>
      <c r="C64" s="120"/>
      <c r="D64" s="120"/>
      <c r="E64" s="120"/>
      <c r="F64" s="120"/>
      <c r="G64" s="120"/>
      <c r="H64" s="120"/>
      <c r="I64" s="120"/>
      <c r="J64" s="120"/>
      <c r="K64" s="121"/>
    </row>
    <row r="65" spans="2:13" ht="48" customHeight="1" thickBot="1">
      <c r="B65" s="245" t="s">
        <v>126</v>
      </c>
      <c r="C65" s="246"/>
      <c r="D65" s="246"/>
      <c r="E65" s="246"/>
      <c r="F65" s="246"/>
      <c r="G65" s="246"/>
      <c r="H65" s="246"/>
      <c r="I65" s="246"/>
      <c r="J65" s="246"/>
      <c r="K65" s="247"/>
    </row>
    <row r="66" spans="2:13" ht="13.2" thickTop="1"/>
    <row r="67" spans="2:13" ht="19.8">
      <c r="B67" s="238" t="s">
        <v>4</v>
      </c>
      <c r="C67" s="239"/>
      <c r="D67" s="239"/>
      <c r="E67" s="239"/>
      <c r="F67" s="239"/>
      <c r="G67" s="239"/>
      <c r="H67" s="239"/>
      <c r="I67" s="239"/>
      <c r="J67" s="239"/>
      <c r="K67" s="240"/>
    </row>
    <row r="68" spans="2:13">
      <c r="B68" s="260" t="s">
        <v>108</v>
      </c>
      <c r="C68" s="261"/>
      <c r="D68" s="261"/>
      <c r="E68" s="261"/>
      <c r="F68" s="261"/>
      <c r="G68" s="261"/>
      <c r="H68" s="261"/>
      <c r="I68" s="261"/>
      <c r="J68" s="261"/>
      <c r="K68" s="262"/>
    </row>
    <row r="69" spans="2:13">
      <c r="B69" s="131" t="s">
        <v>109</v>
      </c>
      <c r="C69" s="120"/>
      <c r="D69" s="120"/>
      <c r="E69" s="120"/>
      <c r="F69" s="120"/>
      <c r="G69" s="120"/>
      <c r="H69" s="120"/>
      <c r="I69" s="120"/>
      <c r="J69" s="120"/>
      <c r="K69" s="121"/>
    </row>
    <row r="70" spans="2:13" ht="24.6" customHeight="1">
      <c r="B70" s="253" t="s">
        <v>110</v>
      </c>
      <c r="C70" s="243"/>
      <c r="D70" s="243"/>
      <c r="E70" s="243"/>
      <c r="F70" s="243"/>
      <c r="G70" s="243"/>
      <c r="H70" s="243"/>
      <c r="I70" s="243"/>
      <c r="J70" s="243"/>
      <c r="K70" s="244"/>
    </row>
    <row r="71" spans="2:13">
      <c r="B71" s="134" t="s">
        <v>119</v>
      </c>
      <c r="C71" s="120"/>
      <c r="D71" s="120"/>
      <c r="E71" s="120"/>
      <c r="F71" s="120"/>
      <c r="G71" s="120"/>
      <c r="H71" s="120"/>
      <c r="I71" s="120"/>
      <c r="J71" s="120"/>
      <c r="K71" s="121"/>
    </row>
    <row r="72" spans="2:13" ht="24.6" customHeight="1">
      <c r="B72" s="254" t="s">
        <v>111</v>
      </c>
      <c r="C72" s="255"/>
      <c r="D72" s="255"/>
      <c r="E72" s="255"/>
      <c r="F72" s="255"/>
      <c r="G72" s="255"/>
      <c r="H72" s="255"/>
      <c r="I72" s="255"/>
      <c r="J72" s="255"/>
      <c r="K72" s="256"/>
    </row>
    <row r="73" spans="2:13">
      <c r="B73" s="132"/>
      <c r="C73" s="120"/>
      <c r="D73" s="120"/>
      <c r="E73" s="120"/>
      <c r="F73" s="120"/>
      <c r="G73" s="120"/>
      <c r="H73" s="120"/>
      <c r="I73" s="120"/>
      <c r="J73" s="120"/>
      <c r="K73" s="121"/>
    </row>
    <row r="74" spans="2:13">
      <c r="B74" s="132" t="s">
        <v>99</v>
      </c>
      <c r="C74" s="120"/>
      <c r="D74" s="120"/>
      <c r="E74" s="120"/>
      <c r="F74" s="120"/>
      <c r="G74" s="120"/>
      <c r="H74" s="120"/>
      <c r="I74" s="120"/>
      <c r="J74" s="120"/>
      <c r="K74" s="121"/>
    </row>
    <row r="75" spans="2:13">
      <c r="B75" s="133" t="s">
        <v>100</v>
      </c>
      <c r="C75" s="120"/>
      <c r="D75" s="120"/>
      <c r="E75" s="120"/>
      <c r="F75" s="120"/>
      <c r="G75" s="120"/>
      <c r="H75" s="120"/>
      <c r="I75" s="120"/>
      <c r="J75" s="120"/>
      <c r="K75" s="121"/>
    </row>
    <row r="76" spans="2:13" ht="24.6" customHeight="1">
      <c r="B76" s="242" t="s">
        <v>112</v>
      </c>
      <c r="C76" s="243"/>
      <c r="D76" s="243"/>
      <c r="E76" s="243"/>
      <c r="F76" s="243"/>
      <c r="G76" s="243"/>
      <c r="H76" s="243"/>
      <c r="I76" s="243"/>
      <c r="J76" s="243"/>
      <c r="K76" s="244"/>
    </row>
    <row r="77" spans="2:13">
      <c r="B77" s="119"/>
      <c r="C77" s="120"/>
      <c r="D77" s="120"/>
      <c r="E77" s="120"/>
      <c r="F77" s="120"/>
      <c r="G77" s="120"/>
      <c r="H77" s="120"/>
      <c r="I77" s="120"/>
      <c r="J77" s="120"/>
      <c r="K77" s="121"/>
    </row>
    <row r="78" spans="2:13" ht="46.8" customHeight="1">
      <c r="B78" s="232" t="s">
        <v>113</v>
      </c>
      <c r="C78" s="258"/>
      <c r="D78" s="258"/>
      <c r="E78" s="258"/>
      <c r="F78" s="258"/>
      <c r="G78" s="258"/>
      <c r="H78" s="258"/>
      <c r="I78" s="258"/>
      <c r="J78" s="258"/>
      <c r="K78" s="259"/>
      <c r="M78" s="106"/>
    </row>
    <row r="79" spans="2:13" ht="13.2" thickBot="1">
      <c r="B79" s="105"/>
      <c r="C79" s="96"/>
      <c r="D79" s="96"/>
      <c r="E79" s="96"/>
      <c r="F79" s="96"/>
      <c r="G79" s="96"/>
      <c r="H79" s="96"/>
      <c r="I79" s="96"/>
      <c r="J79" s="96"/>
      <c r="K79" s="97"/>
    </row>
    <row r="80" spans="2:13" ht="13.2" thickTop="1"/>
    <row r="81" spans="2:11" ht="19.8">
      <c r="B81" s="238" t="s">
        <v>5</v>
      </c>
      <c r="C81" s="239"/>
      <c r="D81" s="239"/>
      <c r="E81" s="239"/>
      <c r="F81" s="239"/>
      <c r="G81" s="239"/>
      <c r="H81" s="239"/>
      <c r="I81" s="239"/>
      <c r="J81" s="239"/>
      <c r="K81" s="240"/>
    </row>
    <row r="82" spans="2:11">
      <c r="B82" s="131" t="s">
        <v>101</v>
      </c>
      <c r="C82" s="120"/>
      <c r="D82" s="120"/>
      <c r="E82" s="120"/>
      <c r="F82" s="120"/>
      <c r="G82" s="120"/>
      <c r="H82" s="120"/>
      <c r="I82" s="120"/>
      <c r="J82" s="120"/>
      <c r="K82" s="121"/>
    </row>
    <row r="83" spans="2:11">
      <c r="B83" s="131" t="s">
        <v>102</v>
      </c>
      <c r="C83" s="120"/>
      <c r="D83" s="120"/>
      <c r="E83" s="120"/>
      <c r="F83" s="120"/>
      <c r="G83" s="120"/>
      <c r="H83" s="120"/>
      <c r="I83" s="120"/>
      <c r="J83" s="120"/>
      <c r="K83" s="121"/>
    </row>
    <row r="84" spans="2:11">
      <c r="B84" s="131" t="s">
        <v>114</v>
      </c>
      <c r="C84" s="120"/>
      <c r="D84" s="120"/>
      <c r="E84" s="120"/>
      <c r="F84" s="120"/>
      <c r="G84" s="120"/>
      <c r="H84" s="120"/>
      <c r="I84" s="120"/>
      <c r="J84" s="120"/>
      <c r="K84" s="121"/>
    </row>
    <row r="85" spans="2:11" ht="45" customHeight="1">
      <c r="B85" s="253" t="s">
        <v>103</v>
      </c>
      <c r="C85" s="267"/>
      <c r="D85" s="267"/>
      <c r="E85" s="267"/>
      <c r="F85" s="267"/>
      <c r="G85" s="267"/>
      <c r="H85" s="267"/>
      <c r="I85" s="267"/>
      <c r="J85" s="267"/>
      <c r="K85" s="268"/>
    </row>
    <row r="86" spans="2:11">
      <c r="B86" s="140" t="s">
        <v>125</v>
      </c>
      <c r="C86" s="120"/>
      <c r="D86" s="120"/>
      <c r="E86" s="120"/>
      <c r="F86" s="120"/>
      <c r="G86" s="120"/>
      <c r="H86" s="120"/>
      <c r="I86" s="120"/>
      <c r="J86" s="120"/>
      <c r="K86" s="121"/>
    </row>
    <row r="87" spans="2:11">
      <c r="B87" s="138" t="s">
        <v>121</v>
      </c>
      <c r="C87" s="3"/>
      <c r="D87" s="120"/>
      <c r="E87" s="120"/>
      <c r="F87" s="120"/>
      <c r="G87" s="120"/>
      <c r="H87" s="120"/>
      <c r="I87" s="120"/>
      <c r="J87" s="120"/>
      <c r="K87" s="121"/>
    </row>
    <row r="88" spans="2:11">
      <c r="B88" s="138" t="s">
        <v>122</v>
      </c>
      <c r="C88" s="3"/>
      <c r="D88" s="120"/>
      <c r="E88" s="120"/>
      <c r="F88" s="120"/>
      <c r="G88" s="120"/>
      <c r="H88" s="120"/>
      <c r="I88" s="120"/>
      <c r="J88" s="120"/>
      <c r="K88" s="121"/>
    </row>
    <row r="89" spans="2:11" ht="12.45" customHeight="1" thickBot="1">
      <c r="B89" s="105"/>
      <c r="C89" s="96"/>
      <c r="D89" s="96"/>
      <c r="E89" s="96"/>
      <c r="F89" s="96"/>
      <c r="G89" s="96"/>
      <c r="H89" s="96"/>
      <c r="I89" s="96"/>
      <c r="J89" s="96"/>
      <c r="K89" s="97"/>
    </row>
    <row r="90" spans="2:11" ht="13.2" thickTop="1"/>
    <row r="91" spans="2:11" ht="19.8">
      <c r="B91" s="238" t="s">
        <v>6</v>
      </c>
      <c r="C91" s="239"/>
      <c r="D91" s="239"/>
      <c r="E91" s="239"/>
      <c r="F91" s="239"/>
      <c r="G91" s="239"/>
      <c r="H91" s="239"/>
      <c r="I91" s="239"/>
      <c r="J91" s="239"/>
      <c r="K91" s="240"/>
    </row>
    <row r="92" spans="2:11">
      <c r="B92" s="135" t="s">
        <v>127</v>
      </c>
      <c r="K92" s="114"/>
    </row>
    <row r="93" spans="2:11">
      <c r="B93" s="135" t="s">
        <v>128</v>
      </c>
      <c r="K93" s="114"/>
    </row>
    <row r="94" spans="2:11">
      <c r="B94" s="135" t="s">
        <v>129</v>
      </c>
      <c r="K94" s="114"/>
    </row>
    <row r="95" spans="2:11" ht="13.2" thickBot="1">
      <c r="B95" s="102"/>
      <c r="C95" s="136"/>
      <c r="D95" s="136"/>
      <c r="E95" s="136"/>
      <c r="F95" s="136"/>
      <c r="G95" s="136"/>
      <c r="H95" s="136"/>
      <c r="I95" s="136"/>
      <c r="J95" s="136"/>
      <c r="K95" s="137"/>
    </row>
    <row r="96" spans="2:11" ht="13.2" thickTop="1"/>
    <row r="100" spans="2:11">
      <c r="B100" s="266"/>
      <c r="C100" s="266"/>
      <c r="D100" s="266"/>
      <c r="E100" s="266"/>
      <c r="F100" s="266"/>
      <c r="G100" s="266"/>
      <c r="H100" s="266"/>
      <c r="I100" s="266"/>
      <c r="J100" s="266"/>
      <c r="K100" s="266"/>
    </row>
    <row r="102" spans="2:11" ht="35.1" customHeight="1">
      <c r="B102" s="266"/>
      <c r="C102" s="266"/>
      <c r="D102" s="266"/>
      <c r="E102" s="266"/>
      <c r="F102" s="266"/>
      <c r="G102" s="266"/>
      <c r="H102" s="266"/>
      <c r="I102" s="266"/>
      <c r="J102" s="266"/>
      <c r="K102" s="266"/>
    </row>
    <row r="103" spans="2:11" ht="37.950000000000003" customHeight="1">
      <c r="B103" s="266"/>
      <c r="C103" s="266"/>
      <c r="D103" s="266"/>
      <c r="E103" s="266"/>
      <c r="F103" s="266"/>
      <c r="G103" s="266"/>
      <c r="H103" s="266"/>
      <c r="I103" s="266"/>
      <c r="J103" s="266"/>
      <c r="K103" s="266"/>
    </row>
    <row r="105" spans="2:11" ht="57.6" customHeight="1">
      <c r="B105" s="266"/>
      <c r="C105" s="266"/>
      <c r="D105" s="266"/>
      <c r="E105" s="266"/>
      <c r="F105" s="266"/>
      <c r="G105" s="266"/>
      <c r="H105" s="266"/>
      <c r="I105" s="266"/>
      <c r="J105" s="266"/>
      <c r="K105" s="266"/>
    </row>
    <row r="107" spans="2:11" ht="29.4" customHeight="1">
      <c r="B107" s="266"/>
      <c r="C107" s="266"/>
      <c r="D107" s="266"/>
      <c r="E107" s="266"/>
      <c r="F107" s="266"/>
      <c r="G107" s="266"/>
      <c r="H107" s="266"/>
      <c r="I107" s="266"/>
      <c r="J107" s="266"/>
      <c r="K107" s="266"/>
    </row>
    <row r="109" spans="2:11" ht="36.6" customHeight="1">
      <c r="B109" s="266"/>
      <c r="C109" s="266"/>
      <c r="D109" s="266"/>
      <c r="E109" s="266"/>
      <c r="F109" s="266"/>
      <c r="G109" s="266"/>
      <c r="H109" s="266"/>
      <c r="I109" s="266"/>
      <c r="J109" s="266"/>
      <c r="K109" s="266"/>
    </row>
  </sheetData>
  <mergeCells count="31">
    <mergeCell ref="B109:K109"/>
    <mergeCell ref="B65:K65"/>
    <mergeCell ref="B100:K100"/>
    <mergeCell ref="B102:K102"/>
    <mergeCell ref="B103:K103"/>
    <mergeCell ref="B105:K105"/>
    <mergeCell ref="B107:K107"/>
    <mergeCell ref="B91:K91"/>
    <mergeCell ref="B78:K78"/>
    <mergeCell ref="B81:K81"/>
    <mergeCell ref="B85:K85"/>
    <mergeCell ref="B56:K56"/>
    <mergeCell ref="B67:K67"/>
    <mergeCell ref="B70:K70"/>
    <mergeCell ref="B72:K72"/>
    <mergeCell ref="B76:K76"/>
    <mergeCell ref="B59:K59"/>
    <mergeCell ref="B68:K68"/>
    <mergeCell ref="B57:K57"/>
    <mergeCell ref="B58:K58"/>
    <mergeCell ref="B2:K2"/>
    <mergeCell ref="B18:K18"/>
    <mergeCell ref="B19:K22"/>
    <mergeCell ref="B24:K24"/>
    <mergeCell ref="C13:K15"/>
    <mergeCell ref="B4:K4"/>
    <mergeCell ref="B25:K34"/>
    <mergeCell ref="B37:K43"/>
    <mergeCell ref="B46:K46"/>
    <mergeCell ref="B36:K36"/>
    <mergeCell ref="B54:K54"/>
  </mergeCells>
  <phoneticPr fontId="4" type="noConversion"/>
  <hyperlinks>
    <hyperlink ref="B88" r:id="rId1" display="- Hospidiag : https://hospidiag.atih.sante.fr" xr:uid="{4671E74D-D841-4510-B8D5-B77A6DD7CA8F}"/>
    <hyperlink ref="B87" r:id="rId2" xr:uid="{5A0B390C-A1BF-45E3-A4FA-DB87BE83B434}"/>
    <hyperlink ref="B86" r:id="rId3" xr:uid="{D02CB365-3929-4C52-823C-C28A0B77B6C8}"/>
  </hyperlinks>
  <pageMargins left="0.7" right="0.7" top="0.75" bottom="0.75" header="0.3" footer="0.3"/>
  <pageSetup paperSize="9" scale="68" fitToHeight="0"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E0809-F468-405F-B33A-91C31E4F6F13}">
  <sheetPr codeName="Feuil5">
    <pageSetUpPr fitToPage="1"/>
  </sheetPr>
  <dimension ref="A2:Q298"/>
  <sheetViews>
    <sheetView showGridLines="0" topLeftCell="A191" zoomScale="85" zoomScaleNormal="85" workbookViewId="0">
      <selection activeCell="D215" sqref="D215"/>
    </sheetView>
  </sheetViews>
  <sheetFormatPr baseColWidth="10" defaultColWidth="10.36328125" defaultRowHeight="11.4"/>
  <cols>
    <col min="1" max="1" width="33.453125" style="3" bestFit="1" customWidth="1"/>
    <col min="2" max="2" width="3.54296875" style="2" bestFit="1" customWidth="1"/>
    <col min="3" max="3" width="7.54296875" style="2" customWidth="1"/>
    <col min="4" max="4" width="49.08984375" style="3" customWidth="1"/>
    <col min="5" max="5" width="12.453125" style="3" bestFit="1" customWidth="1"/>
    <col min="6" max="11" width="11.08984375" style="4" customWidth="1"/>
    <col min="12" max="13" width="11.6328125" style="3" bestFit="1" customWidth="1"/>
    <col min="14" max="14" width="11.6328125" style="3" customWidth="1"/>
    <col min="15" max="15" width="12.90625" style="3" customWidth="1"/>
    <col min="16" max="16" width="10.36328125" style="3" customWidth="1"/>
    <col min="17" max="16384" width="10.36328125" style="3"/>
  </cols>
  <sheetData>
    <row r="2" spans="1:15" ht="12.6">
      <c r="A2" s="1" t="s">
        <v>28</v>
      </c>
    </row>
    <row r="3" spans="1:15" s="79" customFormat="1">
      <c r="B3" s="2"/>
      <c r="C3" s="2"/>
      <c r="E3" s="10"/>
      <c r="F3" s="10"/>
      <c r="G3" s="10"/>
      <c r="H3" s="10"/>
      <c r="I3" s="10"/>
      <c r="J3" s="10"/>
      <c r="K3" s="10"/>
      <c r="L3" s="10"/>
      <c r="M3" s="10"/>
      <c r="N3" s="10"/>
      <c r="O3" s="5"/>
    </row>
    <row r="4" spans="1:15" s="79" customFormat="1" ht="22.8">
      <c r="A4" s="6" t="s">
        <v>29</v>
      </c>
      <c r="B4" s="7">
        <v>1</v>
      </c>
      <c r="C4" s="7"/>
      <c r="D4" s="8"/>
      <c r="E4" s="178" t="s">
        <v>286</v>
      </c>
      <c r="F4" s="178" t="s">
        <v>287</v>
      </c>
      <c r="G4" s="178" t="s">
        <v>288</v>
      </c>
      <c r="H4" s="178" t="s">
        <v>289</v>
      </c>
      <c r="I4" s="178" t="s">
        <v>290</v>
      </c>
      <c r="J4" s="82" t="s">
        <v>94</v>
      </c>
      <c r="K4" s="82" t="s">
        <v>94</v>
      </c>
      <c r="L4" s="82" t="s">
        <v>94</v>
      </c>
      <c r="M4" s="82" t="s">
        <v>94</v>
      </c>
      <c r="N4" s="82"/>
      <c r="O4" s="5" t="s">
        <v>104</v>
      </c>
    </row>
    <row r="5" spans="1:15" s="79" customFormat="1">
      <c r="A5" s="6"/>
      <c r="B5" s="7">
        <v>2</v>
      </c>
      <c r="C5" s="148"/>
      <c r="D5" s="149" t="s">
        <v>174</v>
      </c>
      <c r="E5" s="178" t="s">
        <v>176</v>
      </c>
      <c r="F5" s="178" t="s">
        <v>176</v>
      </c>
      <c r="G5" s="178" t="s">
        <v>176</v>
      </c>
      <c r="H5" s="178" t="s">
        <v>176</v>
      </c>
      <c r="I5" s="178" t="s">
        <v>176</v>
      </c>
      <c r="J5" s="82"/>
      <c r="K5" s="82"/>
      <c r="L5" s="82"/>
      <c r="M5" s="82"/>
      <c r="N5" s="82"/>
      <c r="O5" s="5"/>
    </row>
    <row r="6" spans="1:15" s="79" customFormat="1">
      <c r="A6" s="6"/>
      <c r="B6" s="7">
        <v>3</v>
      </c>
      <c r="C6" s="148"/>
      <c r="D6" s="149" t="s">
        <v>175</v>
      </c>
      <c r="E6" s="178" t="s">
        <v>291</v>
      </c>
      <c r="F6" s="178" t="s">
        <v>291</v>
      </c>
      <c r="G6" s="178" t="s">
        <v>291</v>
      </c>
      <c r="H6" s="178" t="s">
        <v>291</v>
      </c>
      <c r="I6" s="178" t="s">
        <v>291</v>
      </c>
      <c r="J6" s="82"/>
      <c r="K6" s="82"/>
      <c r="L6" s="82"/>
      <c r="M6" s="82"/>
      <c r="N6" s="82"/>
      <c r="O6" s="5"/>
    </row>
    <row r="7" spans="1:15" s="79" customFormat="1" ht="16.2">
      <c r="A7" s="6"/>
      <c r="B7" s="7">
        <v>4</v>
      </c>
      <c r="C7" s="7"/>
      <c r="D7" s="8"/>
      <c r="E7" s="82"/>
      <c r="F7" s="82"/>
      <c r="G7" s="82"/>
      <c r="H7" s="82"/>
      <c r="I7" s="82"/>
      <c r="J7" s="82"/>
      <c r="K7" s="82"/>
      <c r="L7" s="82"/>
      <c r="M7" s="82"/>
      <c r="N7" s="82"/>
      <c r="O7" s="5"/>
    </row>
    <row r="8" spans="1:15" ht="12">
      <c r="A8" s="9"/>
      <c r="B8" s="7">
        <v>5</v>
      </c>
      <c r="C8" s="172"/>
      <c r="D8" s="173" t="s">
        <v>155</v>
      </c>
      <c r="E8" s="174">
        <v>3936237.61</v>
      </c>
      <c r="F8" s="174">
        <v>2548691.3199999998</v>
      </c>
      <c r="G8" s="174">
        <v>4242696.38</v>
      </c>
      <c r="H8" s="174">
        <v>5907925.79</v>
      </c>
      <c r="I8" s="174">
        <v>3837035.38</v>
      </c>
      <c r="J8" s="174"/>
      <c r="K8" s="174"/>
      <c r="L8" s="174"/>
      <c r="M8" s="174"/>
      <c r="N8" s="174"/>
      <c r="O8" s="174"/>
    </row>
    <row r="9" spans="1:15" ht="12">
      <c r="A9" s="9"/>
      <c r="B9" s="7">
        <v>6</v>
      </c>
      <c r="C9" s="175"/>
      <c r="D9" s="176" t="s">
        <v>30</v>
      </c>
      <c r="E9" s="177">
        <v>1239787.25</v>
      </c>
      <c r="F9" s="177">
        <v>750872.99</v>
      </c>
      <c r="G9" s="177">
        <v>1136965.74</v>
      </c>
      <c r="H9" s="177">
        <v>1737776.93</v>
      </c>
      <c r="I9" s="177">
        <v>1071648.0900000001</v>
      </c>
      <c r="J9" s="177"/>
      <c r="K9" s="177"/>
      <c r="L9" s="177"/>
      <c r="M9" s="177"/>
      <c r="N9" s="177"/>
      <c r="O9" s="177"/>
    </row>
    <row r="10" spans="1:15">
      <c r="A10" s="9"/>
      <c r="B10" s="7">
        <v>7</v>
      </c>
      <c r="C10" s="178"/>
      <c r="D10" s="179" t="s">
        <v>31</v>
      </c>
      <c r="E10" s="180">
        <v>1574.88</v>
      </c>
      <c r="F10" s="180">
        <v>787.1</v>
      </c>
      <c r="G10" s="180">
        <v>1587.96</v>
      </c>
      <c r="H10" s="180">
        <v>1505.87</v>
      </c>
      <c r="I10" s="180">
        <v>1139.53</v>
      </c>
      <c r="J10" s="180"/>
      <c r="K10" s="180"/>
      <c r="L10" s="180"/>
      <c r="M10" s="180"/>
      <c r="N10" s="180"/>
      <c r="O10" s="180"/>
    </row>
    <row r="11" spans="1:15" ht="25.8" customHeight="1">
      <c r="A11" s="9"/>
      <c r="B11" s="7">
        <v>8</v>
      </c>
      <c r="C11" s="178"/>
      <c r="D11" s="179" t="s">
        <v>130</v>
      </c>
      <c r="E11" s="180">
        <v>870059.51</v>
      </c>
      <c r="F11" s="180">
        <v>486617.52</v>
      </c>
      <c r="G11" s="180">
        <v>688022.67</v>
      </c>
      <c r="H11" s="180">
        <v>1181004.6499999999</v>
      </c>
      <c r="I11" s="180">
        <v>748633.81</v>
      </c>
      <c r="J11" s="180"/>
      <c r="K11" s="180"/>
      <c r="L11" s="180"/>
      <c r="M11" s="180"/>
      <c r="N11" s="180"/>
      <c r="O11" s="180"/>
    </row>
    <row r="12" spans="1:15">
      <c r="A12" s="9"/>
      <c r="B12" s="7">
        <v>9</v>
      </c>
      <c r="C12" s="178"/>
      <c r="D12" s="179" t="s">
        <v>32</v>
      </c>
      <c r="E12" s="180">
        <v>168525.5</v>
      </c>
      <c r="F12" s="180">
        <v>95313.19</v>
      </c>
      <c r="G12" s="180">
        <v>188492.52</v>
      </c>
      <c r="H12" s="180">
        <v>244142.68</v>
      </c>
      <c r="I12" s="180">
        <v>126711.67999999999</v>
      </c>
      <c r="J12" s="180"/>
      <c r="K12" s="180"/>
      <c r="L12" s="180"/>
      <c r="M12" s="180"/>
      <c r="N12" s="180"/>
      <c r="O12" s="180"/>
    </row>
    <row r="13" spans="1:15">
      <c r="A13" s="9"/>
      <c r="B13" s="7">
        <v>10</v>
      </c>
      <c r="C13" s="178"/>
      <c r="D13" s="179" t="s">
        <v>131</v>
      </c>
      <c r="E13" s="180">
        <v>199627.36</v>
      </c>
      <c r="F13" s="180">
        <v>168155.18</v>
      </c>
      <c r="G13" s="180">
        <v>258862.59</v>
      </c>
      <c r="H13" s="180">
        <v>311123.73</v>
      </c>
      <c r="I13" s="180">
        <v>195163.07</v>
      </c>
      <c r="J13" s="180"/>
      <c r="K13" s="180"/>
      <c r="L13" s="180"/>
      <c r="M13" s="180"/>
      <c r="N13" s="180"/>
      <c r="O13" s="180"/>
    </row>
    <row r="14" spans="1:15" ht="12">
      <c r="A14" s="9"/>
      <c r="B14" s="7">
        <v>11</v>
      </c>
      <c r="C14" s="175"/>
      <c r="D14" s="176" t="s">
        <v>132</v>
      </c>
      <c r="E14" s="177">
        <v>0</v>
      </c>
      <c r="F14" s="177">
        <v>0</v>
      </c>
      <c r="G14" s="177">
        <v>0</v>
      </c>
      <c r="H14" s="177">
        <v>0</v>
      </c>
      <c r="I14" s="177">
        <v>0</v>
      </c>
      <c r="J14" s="177"/>
      <c r="K14" s="177"/>
      <c r="L14" s="177"/>
      <c r="M14" s="177"/>
      <c r="N14" s="177"/>
      <c r="O14" s="177"/>
    </row>
    <row r="15" spans="1:15">
      <c r="A15" s="9"/>
      <c r="B15" s="7">
        <v>12</v>
      </c>
      <c r="C15" s="178"/>
      <c r="D15" s="179" t="s">
        <v>133</v>
      </c>
      <c r="E15" s="180">
        <v>0</v>
      </c>
      <c r="F15" s="180">
        <v>0</v>
      </c>
      <c r="G15" s="180">
        <v>0</v>
      </c>
      <c r="H15" s="180">
        <v>0</v>
      </c>
      <c r="I15" s="180">
        <v>0</v>
      </c>
      <c r="J15" s="180"/>
      <c r="K15" s="180"/>
      <c r="L15" s="180"/>
      <c r="M15" s="180"/>
      <c r="N15" s="180"/>
      <c r="O15" s="180"/>
    </row>
    <row r="16" spans="1:15">
      <c r="A16" s="9"/>
      <c r="B16" s="7">
        <v>13</v>
      </c>
      <c r="C16" s="178"/>
      <c r="D16" s="179" t="s">
        <v>134</v>
      </c>
      <c r="E16" s="180">
        <v>0</v>
      </c>
      <c r="F16" s="180">
        <v>0</v>
      </c>
      <c r="G16" s="180">
        <v>0</v>
      </c>
      <c r="H16" s="180">
        <v>0</v>
      </c>
      <c r="I16" s="180">
        <v>0</v>
      </c>
      <c r="J16" s="180"/>
      <c r="K16" s="180"/>
      <c r="L16" s="180"/>
      <c r="M16" s="180"/>
      <c r="N16" s="180"/>
      <c r="O16" s="180"/>
    </row>
    <row r="17" spans="1:15" ht="12">
      <c r="A17" s="9"/>
      <c r="B17" s="7">
        <v>14</v>
      </c>
      <c r="C17" s="175"/>
      <c r="D17" s="176" t="s">
        <v>33</v>
      </c>
      <c r="E17" s="177">
        <v>2696450.36</v>
      </c>
      <c r="F17" s="177">
        <v>1797818.33</v>
      </c>
      <c r="G17" s="177">
        <v>3105730.64</v>
      </c>
      <c r="H17" s="177">
        <v>4170148.86</v>
      </c>
      <c r="I17" s="177">
        <v>2765387.29</v>
      </c>
      <c r="J17" s="177"/>
      <c r="K17" s="177"/>
      <c r="L17" s="177"/>
      <c r="M17" s="177"/>
      <c r="N17" s="177"/>
      <c r="O17" s="177"/>
    </row>
    <row r="18" spans="1:15">
      <c r="A18" s="9"/>
      <c r="B18" s="7">
        <v>15</v>
      </c>
      <c r="C18" s="178"/>
      <c r="D18" s="179" t="s">
        <v>34</v>
      </c>
      <c r="E18" s="180">
        <v>4609.7299999999996</v>
      </c>
      <c r="F18" s="180">
        <v>2525.66</v>
      </c>
      <c r="G18" s="180">
        <v>4146.62</v>
      </c>
      <c r="H18" s="180">
        <v>6957.68</v>
      </c>
      <c r="I18" s="180">
        <v>3435.76</v>
      </c>
      <c r="J18" s="180"/>
      <c r="K18" s="180"/>
      <c r="L18" s="180"/>
      <c r="M18" s="180"/>
      <c r="N18" s="180"/>
      <c r="O18" s="180"/>
    </row>
    <row r="19" spans="1:15">
      <c r="A19" s="9"/>
      <c r="B19" s="7">
        <v>16</v>
      </c>
      <c r="C19" s="178"/>
      <c r="D19" s="179" t="s">
        <v>35</v>
      </c>
      <c r="E19" s="180">
        <v>736102.55</v>
      </c>
      <c r="F19" s="180">
        <v>691386.03</v>
      </c>
      <c r="G19" s="180">
        <v>993222.5</v>
      </c>
      <c r="H19" s="180">
        <v>970692.26</v>
      </c>
      <c r="I19" s="180">
        <v>770585.86</v>
      </c>
      <c r="J19" s="180"/>
      <c r="K19" s="180"/>
      <c r="L19" s="180"/>
      <c r="M19" s="180"/>
      <c r="N19" s="180"/>
      <c r="O19" s="180"/>
    </row>
    <row r="20" spans="1:15">
      <c r="A20" s="9"/>
      <c r="B20" s="7">
        <v>17</v>
      </c>
      <c r="C20" s="178"/>
      <c r="D20" s="179" t="s">
        <v>36</v>
      </c>
      <c r="E20" s="180">
        <v>13711.24</v>
      </c>
      <c r="F20" s="180">
        <v>8138.38</v>
      </c>
      <c r="G20" s="180">
        <v>14155.73</v>
      </c>
      <c r="H20" s="180">
        <v>18879.650000000001</v>
      </c>
      <c r="I20" s="180">
        <v>13238.71</v>
      </c>
      <c r="J20" s="180"/>
      <c r="K20" s="180"/>
      <c r="L20" s="180"/>
      <c r="M20" s="180"/>
      <c r="N20" s="180"/>
      <c r="O20" s="180"/>
    </row>
    <row r="21" spans="1:15">
      <c r="A21" s="9"/>
      <c r="B21" s="7">
        <v>18</v>
      </c>
      <c r="C21" s="178"/>
      <c r="D21" s="179" t="s">
        <v>37</v>
      </c>
      <c r="E21" s="180">
        <v>1942026.84</v>
      </c>
      <c r="F21" s="180">
        <v>1095768.26</v>
      </c>
      <c r="G21" s="180">
        <v>2094205.79</v>
      </c>
      <c r="H21" s="180">
        <v>3173619.27</v>
      </c>
      <c r="I21" s="180">
        <v>1978126.96</v>
      </c>
      <c r="J21" s="180"/>
      <c r="K21" s="180"/>
      <c r="L21" s="180"/>
      <c r="M21" s="180"/>
      <c r="N21" s="180"/>
      <c r="O21" s="180"/>
    </row>
    <row r="22" spans="1:15" ht="12">
      <c r="A22" s="9"/>
      <c r="B22" s="7">
        <v>19</v>
      </c>
      <c r="C22" s="175"/>
      <c r="D22" s="176" t="s">
        <v>135</v>
      </c>
      <c r="E22" s="177">
        <v>0</v>
      </c>
      <c r="F22" s="177">
        <v>0</v>
      </c>
      <c r="G22" s="177">
        <v>0</v>
      </c>
      <c r="H22" s="177">
        <v>0</v>
      </c>
      <c r="I22" s="177">
        <v>0</v>
      </c>
      <c r="J22" s="177"/>
      <c r="K22" s="177"/>
      <c r="L22" s="177"/>
      <c r="M22" s="177"/>
      <c r="N22" s="177"/>
      <c r="O22" s="177"/>
    </row>
    <row r="23" spans="1:15">
      <c r="A23" s="9"/>
      <c r="B23" s="7">
        <v>20</v>
      </c>
      <c r="C23" s="178"/>
      <c r="D23" s="179" t="s">
        <v>243</v>
      </c>
      <c r="E23" s="180">
        <v>0</v>
      </c>
      <c r="F23" s="180">
        <v>0</v>
      </c>
      <c r="G23" s="180">
        <v>0</v>
      </c>
      <c r="H23" s="180">
        <v>0</v>
      </c>
      <c r="I23" s="180">
        <v>0</v>
      </c>
      <c r="J23" s="180"/>
      <c r="K23" s="180"/>
      <c r="L23" s="180"/>
      <c r="M23" s="180"/>
      <c r="N23" s="180"/>
      <c r="O23" s="180"/>
    </row>
    <row r="24" spans="1:15">
      <c r="A24" s="9"/>
      <c r="B24" s="7">
        <v>21</v>
      </c>
      <c r="C24" s="178"/>
      <c r="D24" s="179" t="s">
        <v>136</v>
      </c>
      <c r="E24" s="180">
        <v>0</v>
      </c>
      <c r="F24" s="180">
        <v>0</v>
      </c>
      <c r="G24" s="180">
        <v>0</v>
      </c>
      <c r="H24" s="180">
        <v>0</v>
      </c>
      <c r="I24" s="180">
        <v>0</v>
      </c>
      <c r="J24" s="180"/>
      <c r="K24" s="180"/>
      <c r="L24" s="180"/>
      <c r="M24" s="180"/>
      <c r="N24" s="180"/>
      <c r="O24" s="180"/>
    </row>
    <row r="25" spans="1:15" ht="12">
      <c r="A25" s="9"/>
      <c r="B25" s="7">
        <v>22</v>
      </c>
      <c r="C25" s="172"/>
      <c r="D25" s="173" t="s">
        <v>38</v>
      </c>
      <c r="E25" s="174">
        <v>1248292.3500000001</v>
      </c>
      <c r="F25" s="174">
        <v>782168.03</v>
      </c>
      <c r="G25" s="174">
        <v>1411573.06</v>
      </c>
      <c r="H25" s="174">
        <v>1716320.46</v>
      </c>
      <c r="I25" s="174">
        <v>1061212.52</v>
      </c>
      <c r="J25" s="174"/>
      <c r="K25" s="174"/>
      <c r="L25" s="174"/>
      <c r="M25" s="174"/>
      <c r="N25" s="174"/>
      <c r="O25" s="174"/>
    </row>
    <row r="26" spans="1:15" ht="12">
      <c r="A26" s="9"/>
      <c r="B26" s="7">
        <v>23</v>
      </c>
      <c r="C26" s="172"/>
      <c r="D26" s="173" t="s">
        <v>156</v>
      </c>
      <c r="E26" s="174">
        <v>118803.03</v>
      </c>
      <c r="F26" s="174">
        <v>65033.22</v>
      </c>
      <c r="G26" s="174">
        <v>87342.18</v>
      </c>
      <c r="H26" s="174">
        <v>152540.70000000001</v>
      </c>
      <c r="I26" s="174">
        <v>80471.78</v>
      </c>
      <c r="J26" s="174"/>
      <c r="K26" s="174"/>
      <c r="L26" s="174"/>
      <c r="M26" s="174"/>
      <c r="N26" s="174"/>
      <c r="O26" s="174"/>
    </row>
    <row r="27" spans="1:15" ht="24">
      <c r="A27" s="9"/>
      <c r="B27" s="7">
        <v>24</v>
      </c>
      <c r="C27" s="172"/>
      <c r="D27" s="173" t="s">
        <v>39</v>
      </c>
      <c r="E27" s="174">
        <v>446998.84</v>
      </c>
      <c r="F27" s="174">
        <v>218922.01</v>
      </c>
      <c r="G27" s="174">
        <v>423371.42</v>
      </c>
      <c r="H27" s="174">
        <v>560201.15</v>
      </c>
      <c r="I27" s="174">
        <v>306321.64</v>
      </c>
      <c r="J27" s="174"/>
      <c r="K27" s="174"/>
      <c r="L27" s="174"/>
      <c r="M27" s="174"/>
      <c r="N27" s="174"/>
      <c r="O27" s="174"/>
    </row>
    <row r="28" spans="1:15" ht="12">
      <c r="A28" s="9"/>
      <c r="B28" s="7">
        <v>25</v>
      </c>
      <c r="C28" s="181" t="s">
        <v>158</v>
      </c>
      <c r="D28" s="182" t="s">
        <v>157</v>
      </c>
      <c r="E28" s="183">
        <v>5750331.8300000001</v>
      </c>
      <c r="F28" s="183">
        <v>3614814.58</v>
      </c>
      <c r="G28" s="183">
        <v>6164983.04</v>
      </c>
      <c r="H28" s="183">
        <v>8336988.0999999996</v>
      </c>
      <c r="I28" s="183">
        <v>5285041.32</v>
      </c>
      <c r="J28" s="183"/>
      <c r="K28" s="183"/>
      <c r="L28" s="183"/>
      <c r="M28" s="183"/>
      <c r="N28" s="183"/>
      <c r="O28" s="183"/>
    </row>
    <row r="29" spans="1:15">
      <c r="A29" s="9"/>
      <c r="B29" s="7">
        <v>26</v>
      </c>
      <c r="C29" s="178"/>
      <c r="D29" s="179" t="s">
        <v>137</v>
      </c>
      <c r="E29" s="180">
        <v>1.1100000000000001</v>
      </c>
      <c r="F29" s="180">
        <v>0.71</v>
      </c>
      <c r="G29" s="180">
        <v>0.92</v>
      </c>
      <c r="H29" s="180">
        <v>1.62</v>
      </c>
      <c r="I29" s="180">
        <v>0.76</v>
      </c>
      <c r="J29" s="180"/>
      <c r="K29" s="180"/>
      <c r="L29" s="180"/>
      <c r="M29" s="180"/>
      <c r="N29" s="180"/>
      <c r="O29" s="180"/>
    </row>
    <row r="30" spans="1:15">
      <c r="A30" s="9"/>
      <c r="B30" s="7">
        <v>27</v>
      </c>
      <c r="C30" s="178"/>
      <c r="D30" s="179" t="s">
        <v>138</v>
      </c>
      <c r="E30" s="180">
        <v>207.52</v>
      </c>
      <c r="F30" s="180">
        <v>178.48</v>
      </c>
      <c r="G30" s="180">
        <v>292.42</v>
      </c>
      <c r="H30" s="180">
        <v>339.23</v>
      </c>
      <c r="I30" s="180">
        <v>174.87</v>
      </c>
      <c r="J30" s="180"/>
      <c r="K30" s="180"/>
      <c r="L30" s="180"/>
      <c r="M30" s="180"/>
      <c r="N30" s="180"/>
      <c r="O30" s="180"/>
    </row>
    <row r="31" spans="1:15">
      <c r="A31" s="9"/>
      <c r="B31" s="7">
        <v>28</v>
      </c>
      <c r="C31" s="178"/>
      <c r="D31" s="179" t="s">
        <v>139</v>
      </c>
      <c r="E31" s="180">
        <v>11.48</v>
      </c>
      <c r="F31" s="180">
        <v>9.7899999999999991</v>
      </c>
      <c r="G31" s="180">
        <v>10.86</v>
      </c>
      <c r="H31" s="180">
        <v>15.82</v>
      </c>
      <c r="I31" s="180">
        <v>10.35</v>
      </c>
      <c r="J31" s="180"/>
      <c r="K31" s="180"/>
      <c r="L31" s="180"/>
      <c r="M31" s="180"/>
      <c r="N31" s="180"/>
      <c r="O31" s="180"/>
    </row>
    <row r="32" spans="1:15">
      <c r="A32" s="9"/>
      <c r="B32" s="7">
        <v>29</v>
      </c>
      <c r="C32" s="178"/>
      <c r="D32" s="179" t="s">
        <v>140</v>
      </c>
      <c r="E32" s="180">
        <v>0</v>
      </c>
      <c r="F32" s="180">
        <v>0</v>
      </c>
      <c r="G32" s="180">
        <v>0</v>
      </c>
      <c r="H32" s="180">
        <v>0</v>
      </c>
      <c r="I32" s="180">
        <v>0</v>
      </c>
      <c r="J32" s="180"/>
      <c r="K32" s="180"/>
      <c r="L32" s="180"/>
      <c r="M32" s="180"/>
      <c r="N32" s="180"/>
      <c r="O32" s="180"/>
    </row>
    <row r="33" spans="1:15" ht="12">
      <c r="A33" s="9"/>
      <c r="B33" s="7">
        <v>30</v>
      </c>
      <c r="C33" s="181"/>
      <c r="D33" s="182" t="s">
        <v>141</v>
      </c>
      <c r="E33" s="183">
        <v>39445.15</v>
      </c>
      <c r="F33" s="183">
        <v>19016.11</v>
      </c>
      <c r="G33" s="183">
        <v>35917.1</v>
      </c>
      <c r="H33" s="183">
        <v>42830.45</v>
      </c>
      <c r="I33" s="183">
        <v>32174.19</v>
      </c>
      <c r="J33" s="183"/>
      <c r="K33" s="183"/>
      <c r="L33" s="183"/>
      <c r="M33" s="183"/>
      <c r="N33" s="183"/>
      <c r="O33" s="183"/>
    </row>
    <row r="34" spans="1:15">
      <c r="A34" s="9"/>
      <c r="B34" s="7">
        <v>31</v>
      </c>
      <c r="C34" s="178"/>
      <c r="D34" s="179" t="s">
        <v>142</v>
      </c>
      <c r="E34" s="180">
        <v>0</v>
      </c>
      <c r="F34" s="180">
        <v>0</v>
      </c>
      <c r="G34" s="180">
        <v>0</v>
      </c>
      <c r="H34" s="180">
        <v>0</v>
      </c>
      <c r="I34" s="180">
        <v>0</v>
      </c>
      <c r="J34" s="180"/>
      <c r="K34" s="180"/>
      <c r="L34" s="180"/>
      <c r="M34" s="180"/>
      <c r="N34" s="180"/>
      <c r="O34" s="180"/>
    </row>
    <row r="35" spans="1:15">
      <c r="A35" s="9"/>
      <c r="B35" s="7">
        <v>32</v>
      </c>
      <c r="C35" s="178"/>
      <c r="D35" s="179" t="s">
        <v>143</v>
      </c>
      <c r="E35" s="180">
        <v>9939.64</v>
      </c>
      <c r="F35" s="180">
        <v>6117.42</v>
      </c>
      <c r="G35" s="180">
        <v>9339.14</v>
      </c>
      <c r="H35" s="180">
        <v>12040.9</v>
      </c>
      <c r="I35" s="180">
        <v>7231.85</v>
      </c>
      <c r="J35" s="180"/>
      <c r="K35" s="180"/>
      <c r="L35" s="180"/>
      <c r="M35" s="180"/>
      <c r="N35" s="180"/>
      <c r="O35" s="180"/>
    </row>
    <row r="36" spans="1:15">
      <c r="A36" s="9"/>
      <c r="B36" s="7">
        <v>33</v>
      </c>
      <c r="C36" s="178"/>
      <c r="D36" s="179" t="s">
        <v>144</v>
      </c>
      <c r="E36" s="180">
        <v>0</v>
      </c>
      <c r="F36" s="180">
        <v>0</v>
      </c>
      <c r="G36" s="180">
        <v>0</v>
      </c>
      <c r="H36" s="180">
        <v>0</v>
      </c>
      <c r="I36" s="180">
        <v>0</v>
      </c>
      <c r="J36" s="180"/>
      <c r="K36" s="180"/>
      <c r="L36" s="180"/>
      <c r="M36" s="180"/>
      <c r="N36" s="180"/>
      <c r="O36" s="180"/>
    </row>
    <row r="37" spans="1:15">
      <c r="A37" s="9"/>
      <c r="B37" s="7">
        <v>34</v>
      </c>
      <c r="C37" s="178"/>
      <c r="D37" s="179" t="s">
        <v>145</v>
      </c>
      <c r="E37" s="180">
        <v>0</v>
      </c>
      <c r="F37" s="180">
        <v>0</v>
      </c>
      <c r="G37" s="180">
        <v>0</v>
      </c>
      <c r="H37" s="180">
        <v>0</v>
      </c>
      <c r="I37" s="180">
        <v>0</v>
      </c>
      <c r="J37" s="180"/>
      <c r="K37" s="180"/>
      <c r="L37" s="180"/>
      <c r="M37" s="180"/>
      <c r="N37" s="180"/>
      <c r="O37" s="180"/>
    </row>
    <row r="38" spans="1:15">
      <c r="A38" s="9"/>
      <c r="B38" s="7">
        <v>35</v>
      </c>
      <c r="C38" s="178"/>
      <c r="D38" s="179" t="s">
        <v>146</v>
      </c>
      <c r="E38" s="180">
        <v>0</v>
      </c>
      <c r="F38" s="180">
        <v>0</v>
      </c>
      <c r="G38" s="180">
        <v>0</v>
      </c>
      <c r="H38" s="180">
        <v>0</v>
      </c>
      <c r="I38" s="180">
        <v>0</v>
      </c>
      <c r="J38" s="180"/>
      <c r="K38" s="180"/>
      <c r="L38" s="180"/>
      <c r="M38" s="180"/>
      <c r="N38" s="180"/>
      <c r="O38" s="180"/>
    </row>
    <row r="39" spans="1:15">
      <c r="A39" s="9"/>
      <c r="B39" s="7">
        <v>36</v>
      </c>
      <c r="C39" s="178"/>
      <c r="D39" s="179" t="s">
        <v>147</v>
      </c>
      <c r="E39" s="180">
        <v>5062.78</v>
      </c>
      <c r="F39" s="180">
        <v>2629.59</v>
      </c>
      <c r="G39" s="180">
        <v>4548.83</v>
      </c>
      <c r="H39" s="180">
        <v>6073.33</v>
      </c>
      <c r="I39" s="180">
        <v>4144.32</v>
      </c>
      <c r="J39" s="180"/>
      <c r="K39" s="180"/>
      <c r="L39" s="180"/>
      <c r="M39" s="180"/>
      <c r="N39" s="180"/>
      <c r="O39" s="180"/>
    </row>
    <row r="40" spans="1:15" ht="12">
      <c r="A40" s="9"/>
      <c r="B40" s="7">
        <v>37</v>
      </c>
      <c r="C40" s="181"/>
      <c r="D40" s="182" t="s">
        <v>40</v>
      </c>
      <c r="E40" s="183">
        <v>54447.57</v>
      </c>
      <c r="F40" s="183">
        <v>27763.119999999999</v>
      </c>
      <c r="G40" s="183">
        <v>49805.07</v>
      </c>
      <c r="H40" s="183">
        <v>60944.68</v>
      </c>
      <c r="I40" s="183">
        <v>43550.36</v>
      </c>
      <c r="J40" s="183"/>
      <c r="K40" s="183"/>
      <c r="L40" s="183"/>
      <c r="M40" s="183"/>
      <c r="N40" s="183"/>
      <c r="O40" s="183"/>
    </row>
    <row r="41" spans="1:15" ht="12">
      <c r="A41" s="9"/>
      <c r="B41" s="7">
        <v>38</v>
      </c>
      <c r="C41" s="181" t="s">
        <v>153</v>
      </c>
      <c r="D41" s="182" t="s">
        <v>41</v>
      </c>
      <c r="E41" s="183">
        <v>5695884.2599999998</v>
      </c>
      <c r="F41" s="183">
        <v>3587051.46</v>
      </c>
      <c r="G41" s="183">
        <v>6115177.9699999997</v>
      </c>
      <c r="H41" s="183">
        <v>8276043.4199999999</v>
      </c>
      <c r="I41" s="183">
        <v>5241490.96</v>
      </c>
      <c r="J41" s="183"/>
      <c r="K41" s="183"/>
      <c r="L41" s="183"/>
      <c r="M41" s="183"/>
      <c r="N41" s="183"/>
      <c r="O41" s="183"/>
    </row>
    <row r="42" spans="1:15">
      <c r="A42" s="9"/>
      <c r="B42" s="7">
        <v>39</v>
      </c>
      <c r="C42" s="178"/>
      <c r="D42" s="179" t="s">
        <v>42</v>
      </c>
      <c r="E42" s="180">
        <v>0</v>
      </c>
      <c r="F42" s="180">
        <v>61507</v>
      </c>
      <c r="G42" s="180">
        <v>0</v>
      </c>
      <c r="H42" s="180">
        <v>3905</v>
      </c>
      <c r="I42" s="180">
        <v>0</v>
      </c>
      <c r="J42" s="180"/>
      <c r="K42" s="180"/>
      <c r="L42" s="180"/>
      <c r="M42" s="180"/>
      <c r="N42" s="180"/>
      <c r="O42" s="180"/>
    </row>
    <row r="43" spans="1:15" ht="24">
      <c r="A43" s="9"/>
      <c r="B43" s="7">
        <v>40</v>
      </c>
      <c r="C43" s="181" t="s">
        <v>159</v>
      </c>
      <c r="D43" s="182" t="s">
        <v>148</v>
      </c>
      <c r="E43" s="183">
        <v>5695884.2599999998</v>
      </c>
      <c r="F43" s="183">
        <v>3525544.46</v>
      </c>
      <c r="G43" s="183">
        <v>6115177.9699999997</v>
      </c>
      <c r="H43" s="183">
        <v>8272138.4199999999</v>
      </c>
      <c r="I43" s="183">
        <v>5241490.96</v>
      </c>
      <c r="J43" s="183"/>
      <c r="K43" s="183"/>
      <c r="L43" s="183"/>
      <c r="M43" s="183"/>
      <c r="N43" s="183"/>
      <c r="O43" s="183"/>
    </row>
    <row r="44" spans="1:15">
      <c r="A44" s="9"/>
      <c r="B44" s="7">
        <v>41</v>
      </c>
      <c r="C44" s="184" t="s">
        <v>160</v>
      </c>
      <c r="D44" s="185" t="s">
        <v>149</v>
      </c>
      <c r="E44" s="186">
        <v>57075.8768191688</v>
      </c>
      <c r="F44" s="186">
        <v>36257.339935817501</v>
      </c>
      <c r="G44" s="186">
        <v>66504.319839799893</v>
      </c>
      <c r="H44" s="186">
        <v>80916.280440684597</v>
      </c>
      <c r="I44" s="186">
        <v>48655.087867071103</v>
      </c>
      <c r="J44" s="186"/>
      <c r="K44" s="186"/>
      <c r="L44" s="186"/>
      <c r="M44" s="186"/>
      <c r="N44" s="186"/>
      <c r="O44" s="186"/>
    </row>
    <row r="45" spans="1:15">
      <c r="B45" s="7">
        <v>42</v>
      </c>
      <c r="C45" s="184" t="s">
        <v>161</v>
      </c>
      <c r="D45" s="185" t="s">
        <v>90</v>
      </c>
      <c r="E45" s="186">
        <v>1716.1846422568599</v>
      </c>
      <c r="F45" s="186">
        <v>1528.2322172900101</v>
      </c>
      <c r="G45" s="186">
        <v>1651.29630506593</v>
      </c>
      <c r="H45" s="186">
        <v>2248.71651299628</v>
      </c>
      <c r="I45" s="186">
        <v>2127.8899540890202</v>
      </c>
      <c r="J45" s="186"/>
      <c r="K45" s="186"/>
      <c r="L45" s="186"/>
      <c r="M45" s="186"/>
      <c r="N45" s="186"/>
      <c r="O45" s="186"/>
    </row>
    <row r="46" spans="1:15">
      <c r="B46" s="7">
        <v>43</v>
      </c>
      <c r="C46" s="184" t="s">
        <v>162</v>
      </c>
      <c r="D46" s="185" t="s">
        <v>91</v>
      </c>
      <c r="E46" s="186">
        <v>13.778612392710199</v>
      </c>
      <c r="F46" s="186">
        <v>4.8709547716416797</v>
      </c>
      <c r="G46" s="186">
        <v>16.362102216343299</v>
      </c>
      <c r="H46" s="186">
        <v>24.946823609457599</v>
      </c>
      <c r="I46" s="186">
        <v>6.4049018544238603</v>
      </c>
      <c r="J46" s="186"/>
      <c r="K46" s="186"/>
      <c r="L46" s="186"/>
      <c r="M46" s="186"/>
      <c r="N46" s="186"/>
      <c r="O46" s="186"/>
    </row>
    <row r="47" spans="1:15">
      <c r="B47" s="7">
        <v>44</v>
      </c>
      <c r="C47" s="184" t="s">
        <v>163</v>
      </c>
      <c r="D47" s="185" t="s">
        <v>92</v>
      </c>
      <c r="E47" s="186">
        <v>8448.6833997234899</v>
      </c>
      <c r="F47" s="186">
        <v>5367.0097264452997</v>
      </c>
      <c r="G47" s="186">
        <v>9844.3330940071501</v>
      </c>
      <c r="H47" s="186">
        <v>11977.6703123198</v>
      </c>
      <c r="I47" s="186">
        <v>7202.1921709059698</v>
      </c>
      <c r="J47" s="186"/>
      <c r="K47" s="186"/>
      <c r="L47" s="186"/>
      <c r="M47" s="186"/>
      <c r="N47" s="186"/>
      <c r="O47" s="186"/>
    </row>
    <row r="48" spans="1:15" ht="24">
      <c r="B48" s="7">
        <v>45</v>
      </c>
      <c r="C48" s="187" t="s">
        <v>244</v>
      </c>
      <c r="D48" s="188" t="s">
        <v>93</v>
      </c>
      <c r="E48" s="189">
        <v>67254.523473541805</v>
      </c>
      <c r="F48" s="189">
        <v>43157.452834324497</v>
      </c>
      <c r="G48" s="189">
        <v>78016.311341089298</v>
      </c>
      <c r="H48" s="189">
        <v>95167.614089610201</v>
      </c>
      <c r="I48" s="189">
        <v>57991.5748939205</v>
      </c>
      <c r="J48" s="189"/>
      <c r="K48" s="189"/>
      <c r="L48" s="189"/>
      <c r="M48" s="189"/>
      <c r="N48" s="189"/>
      <c r="O48" s="189"/>
    </row>
    <row r="49" spans="2:15">
      <c r="B49" s="7">
        <v>46</v>
      </c>
      <c r="C49" s="190" t="s">
        <v>245</v>
      </c>
      <c r="D49" s="191" t="s">
        <v>246</v>
      </c>
      <c r="E49" s="192" t="s">
        <v>154</v>
      </c>
      <c r="F49" s="192" t="s">
        <v>154</v>
      </c>
      <c r="G49" s="192" t="s">
        <v>154</v>
      </c>
      <c r="H49" s="192" t="s">
        <v>154</v>
      </c>
      <c r="I49" s="192" t="s">
        <v>154</v>
      </c>
      <c r="J49" s="192"/>
      <c r="K49" s="192"/>
      <c r="L49" s="192"/>
      <c r="M49" s="192"/>
      <c r="N49" s="192"/>
      <c r="O49" s="192"/>
    </row>
    <row r="50" spans="2:15">
      <c r="B50" s="7">
        <v>47</v>
      </c>
      <c r="C50" s="190" t="s">
        <v>247</v>
      </c>
      <c r="D50" s="191" t="s">
        <v>248</v>
      </c>
      <c r="E50" s="192" t="s">
        <v>154</v>
      </c>
      <c r="F50" s="192" t="s">
        <v>154</v>
      </c>
      <c r="G50" s="192" t="s">
        <v>154</v>
      </c>
      <c r="H50" s="192" t="s">
        <v>154</v>
      </c>
      <c r="I50" s="192" t="s">
        <v>154</v>
      </c>
      <c r="J50" s="192"/>
      <c r="K50" s="192"/>
      <c r="L50" s="192"/>
      <c r="M50" s="192"/>
      <c r="N50" s="192"/>
      <c r="O50" s="192"/>
    </row>
    <row r="51" spans="2:15">
      <c r="B51" s="7">
        <v>48</v>
      </c>
      <c r="C51" s="190" t="s">
        <v>249</v>
      </c>
      <c r="D51" s="191" t="s">
        <v>250</v>
      </c>
      <c r="E51" s="192" t="s">
        <v>154</v>
      </c>
      <c r="F51" s="192" t="s">
        <v>154</v>
      </c>
      <c r="G51" s="192" t="s">
        <v>154</v>
      </c>
      <c r="H51" s="192" t="s">
        <v>154</v>
      </c>
      <c r="I51" s="192" t="s">
        <v>154</v>
      </c>
      <c r="J51" s="192"/>
      <c r="K51" s="192"/>
      <c r="L51" s="192"/>
      <c r="M51" s="192"/>
      <c r="N51" s="192"/>
      <c r="O51" s="192"/>
    </row>
    <row r="52" spans="2:15">
      <c r="B52" s="7">
        <v>49</v>
      </c>
      <c r="C52" s="190" t="s">
        <v>251</v>
      </c>
      <c r="D52" s="191" t="s">
        <v>252</v>
      </c>
      <c r="E52" s="192" t="s">
        <v>154</v>
      </c>
      <c r="F52" s="192" t="s">
        <v>154</v>
      </c>
      <c r="G52" s="192" t="s">
        <v>154</v>
      </c>
      <c r="H52" s="192" t="s">
        <v>154</v>
      </c>
      <c r="I52" s="192" t="s">
        <v>154</v>
      </c>
      <c r="J52" s="192"/>
      <c r="K52" s="192"/>
      <c r="L52" s="192"/>
      <c r="M52" s="192"/>
      <c r="N52" s="192"/>
      <c r="O52" s="192"/>
    </row>
    <row r="53" spans="2:15">
      <c r="B53" s="7">
        <v>50</v>
      </c>
      <c r="C53" s="190" t="s">
        <v>253</v>
      </c>
      <c r="D53" s="191" t="s">
        <v>254</v>
      </c>
      <c r="E53" s="192" t="s">
        <v>154</v>
      </c>
      <c r="F53" s="192" t="s">
        <v>154</v>
      </c>
      <c r="G53" s="192" t="s">
        <v>154</v>
      </c>
      <c r="H53" s="192" t="s">
        <v>154</v>
      </c>
      <c r="I53" s="192" t="s">
        <v>154</v>
      </c>
      <c r="J53" s="192"/>
      <c r="K53" s="192"/>
      <c r="L53" s="192"/>
      <c r="M53" s="192"/>
      <c r="N53" s="192"/>
      <c r="O53" s="192"/>
    </row>
    <row r="54" spans="2:15">
      <c r="B54" s="7">
        <v>51</v>
      </c>
      <c r="C54" s="190" t="s">
        <v>255</v>
      </c>
      <c r="D54" s="191" t="s">
        <v>256</v>
      </c>
      <c r="E54" s="192" t="s">
        <v>154</v>
      </c>
      <c r="F54" s="192" t="s">
        <v>154</v>
      </c>
      <c r="G54" s="192" t="s">
        <v>154</v>
      </c>
      <c r="H54" s="192" t="s">
        <v>154</v>
      </c>
      <c r="I54" s="192" t="s">
        <v>154</v>
      </c>
      <c r="J54" s="192"/>
      <c r="K54" s="192"/>
      <c r="L54" s="192"/>
      <c r="M54" s="192"/>
      <c r="N54" s="192"/>
      <c r="O54" s="192"/>
    </row>
    <row r="55" spans="2:15">
      <c r="B55" s="7">
        <v>52</v>
      </c>
      <c r="C55" s="190" t="s">
        <v>257</v>
      </c>
      <c r="D55" s="191" t="s">
        <v>258</v>
      </c>
      <c r="E55" s="192" t="s">
        <v>154</v>
      </c>
      <c r="F55" s="192" t="s">
        <v>154</v>
      </c>
      <c r="G55" s="192" t="s">
        <v>154</v>
      </c>
      <c r="H55" s="192" t="s">
        <v>154</v>
      </c>
      <c r="I55" s="192" t="s">
        <v>154</v>
      </c>
      <c r="J55" s="192"/>
      <c r="K55" s="192"/>
      <c r="L55" s="192"/>
      <c r="M55" s="192"/>
      <c r="N55" s="192"/>
      <c r="O55" s="192"/>
    </row>
    <row r="56" spans="2:15">
      <c r="B56" s="7">
        <v>53</v>
      </c>
      <c r="C56" s="190" t="s">
        <v>259</v>
      </c>
      <c r="D56" s="191" t="s">
        <v>260</v>
      </c>
      <c r="E56" s="192" t="s">
        <v>154</v>
      </c>
      <c r="F56" s="192" t="s">
        <v>154</v>
      </c>
      <c r="G56" s="192" t="s">
        <v>154</v>
      </c>
      <c r="H56" s="192" t="s">
        <v>154</v>
      </c>
      <c r="I56" s="192" t="s">
        <v>154</v>
      </c>
      <c r="J56" s="192"/>
      <c r="K56" s="192"/>
      <c r="L56" s="192"/>
      <c r="M56" s="192"/>
      <c r="N56" s="192"/>
      <c r="O56" s="192"/>
    </row>
    <row r="57" spans="2:15">
      <c r="B57" s="7">
        <v>54</v>
      </c>
      <c r="C57" s="190" t="s">
        <v>261</v>
      </c>
      <c r="D57" s="191" t="s">
        <v>262</v>
      </c>
      <c r="E57" s="192" t="s">
        <v>154</v>
      </c>
      <c r="F57" s="192" t="s">
        <v>154</v>
      </c>
      <c r="G57" s="192" t="s">
        <v>154</v>
      </c>
      <c r="H57" s="192" t="s">
        <v>154</v>
      </c>
      <c r="I57" s="192" t="s">
        <v>154</v>
      </c>
      <c r="J57" s="192"/>
      <c r="K57" s="192"/>
      <c r="L57" s="192"/>
      <c r="M57" s="192"/>
      <c r="N57" s="192"/>
      <c r="O57" s="192"/>
    </row>
    <row r="58" spans="2:15">
      <c r="B58" s="7">
        <v>55</v>
      </c>
      <c r="C58" s="190" t="s">
        <v>263</v>
      </c>
      <c r="D58" s="191" t="s">
        <v>264</v>
      </c>
      <c r="E58" s="192" t="s">
        <v>154</v>
      </c>
      <c r="F58" s="192" t="s">
        <v>154</v>
      </c>
      <c r="G58" s="192" t="s">
        <v>154</v>
      </c>
      <c r="H58" s="192" t="s">
        <v>154</v>
      </c>
      <c r="I58" s="192" t="s">
        <v>154</v>
      </c>
      <c r="J58" s="192"/>
      <c r="K58" s="192"/>
      <c r="L58" s="192"/>
      <c r="M58" s="192"/>
      <c r="N58" s="192"/>
      <c r="O58" s="192"/>
    </row>
    <row r="59" spans="2:15" ht="12">
      <c r="B59" s="7">
        <v>56</v>
      </c>
      <c r="C59" s="193" t="s">
        <v>265</v>
      </c>
      <c r="D59" s="194" t="s">
        <v>266</v>
      </c>
      <c r="E59" s="195"/>
      <c r="F59" s="195" t="s">
        <v>154</v>
      </c>
      <c r="G59" s="195" t="s">
        <v>154</v>
      </c>
      <c r="H59" s="195" t="s">
        <v>154</v>
      </c>
      <c r="I59" s="195" t="s">
        <v>154</v>
      </c>
      <c r="J59" s="195"/>
      <c r="K59" s="195"/>
      <c r="L59" s="195"/>
      <c r="M59" s="195"/>
      <c r="N59" s="195"/>
      <c r="O59" s="195"/>
    </row>
    <row r="60" spans="2:15" ht="12">
      <c r="B60" s="7">
        <v>57</v>
      </c>
      <c r="C60" s="193" t="s">
        <v>267</v>
      </c>
      <c r="D60" s="194" t="s">
        <v>268</v>
      </c>
      <c r="E60" s="195" t="s">
        <v>154</v>
      </c>
      <c r="F60" s="195" t="s">
        <v>154</v>
      </c>
      <c r="G60" s="195" t="s">
        <v>154</v>
      </c>
      <c r="H60" s="195" t="s">
        <v>154</v>
      </c>
      <c r="I60" s="195" t="s">
        <v>154</v>
      </c>
      <c r="J60" s="195"/>
      <c r="K60" s="195"/>
      <c r="L60" s="195"/>
      <c r="M60" s="195"/>
      <c r="N60" s="195"/>
      <c r="O60" s="195"/>
    </row>
    <row r="61" spans="2:15" ht="12">
      <c r="B61" s="7">
        <v>58</v>
      </c>
      <c r="C61" s="193" t="s">
        <v>269</v>
      </c>
      <c r="D61" s="194" t="s">
        <v>270</v>
      </c>
      <c r="E61" s="195" t="s">
        <v>154</v>
      </c>
      <c r="F61" s="195" t="s">
        <v>154</v>
      </c>
      <c r="G61" s="195" t="s">
        <v>154</v>
      </c>
      <c r="H61" s="195" t="s">
        <v>154</v>
      </c>
      <c r="I61" s="195" t="s">
        <v>154</v>
      </c>
      <c r="J61" s="195"/>
      <c r="K61" s="195"/>
      <c r="L61" s="195"/>
      <c r="M61" s="195"/>
      <c r="N61" s="195"/>
      <c r="O61" s="195"/>
    </row>
    <row r="62" spans="2:15" ht="12">
      <c r="B62" s="7">
        <v>59</v>
      </c>
      <c r="C62" s="193" t="s">
        <v>271</v>
      </c>
      <c r="D62" s="194" t="s">
        <v>272</v>
      </c>
      <c r="E62" s="195" t="s">
        <v>154</v>
      </c>
      <c r="F62" s="195" t="s">
        <v>154</v>
      </c>
      <c r="G62" s="195" t="s">
        <v>154</v>
      </c>
      <c r="H62" s="195" t="s">
        <v>154</v>
      </c>
      <c r="I62" s="195" t="s">
        <v>154</v>
      </c>
      <c r="J62" s="195"/>
      <c r="K62" s="195"/>
      <c r="L62" s="195"/>
      <c r="M62" s="195"/>
      <c r="N62" s="195"/>
      <c r="O62" s="195"/>
    </row>
    <row r="63" spans="2:15" ht="12">
      <c r="B63" s="7">
        <v>60</v>
      </c>
      <c r="C63" s="193" t="s">
        <v>273</v>
      </c>
      <c r="D63" s="194" t="s">
        <v>274</v>
      </c>
      <c r="E63" s="195" t="s">
        <v>154</v>
      </c>
      <c r="F63" s="195" t="s">
        <v>154</v>
      </c>
      <c r="G63" s="195" t="s">
        <v>154</v>
      </c>
      <c r="H63" s="195" t="s">
        <v>154</v>
      </c>
      <c r="I63" s="195" t="s">
        <v>154</v>
      </c>
      <c r="J63" s="195"/>
      <c r="K63" s="195"/>
      <c r="L63" s="195"/>
      <c r="M63" s="195"/>
      <c r="N63" s="195"/>
      <c r="O63" s="195"/>
    </row>
    <row r="64" spans="2:15" ht="12">
      <c r="B64" s="7">
        <v>61</v>
      </c>
      <c r="C64" s="193" t="s">
        <v>275</v>
      </c>
      <c r="D64" s="194" t="s">
        <v>276</v>
      </c>
      <c r="E64" s="195" t="s">
        <v>154</v>
      </c>
      <c r="F64" s="195" t="s">
        <v>154</v>
      </c>
      <c r="G64" s="195" t="s">
        <v>154</v>
      </c>
      <c r="H64" s="195" t="s">
        <v>154</v>
      </c>
      <c r="I64" s="195" t="s">
        <v>154</v>
      </c>
      <c r="J64" s="195"/>
      <c r="K64" s="195"/>
      <c r="L64" s="195"/>
      <c r="M64" s="195"/>
      <c r="N64" s="195"/>
      <c r="O64" s="195"/>
    </row>
    <row r="65" spans="2:15" ht="24">
      <c r="B65" s="7">
        <v>62</v>
      </c>
      <c r="C65" s="187" t="s">
        <v>277</v>
      </c>
      <c r="D65" s="188" t="s">
        <v>278</v>
      </c>
      <c r="E65" s="189" t="s">
        <v>154</v>
      </c>
      <c r="F65" s="189" t="s">
        <v>154</v>
      </c>
      <c r="G65" s="189" t="s">
        <v>154</v>
      </c>
      <c r="H65" s="189" t="s">
        <v>154</v>
      </c>
      <c r="I65" s="189" t="s">
        <v>154</v>
      </c>
      <c r="J65" s="189"/>
      <c r="K65" s="189"/>
      <c r="L65" s="189"/>
      <c r="M65" s="189"/>
      <c r="N65" s="189"/>
      <c r="O65" s="189"/>
    </row>
    <row r="66" spans="2:15" ht="36">
      <c r="B66" s="7">
        <v>63</v>
      </c>
      <c r="C66" s="181" t="s">
        <v>279</v>
      </c>
      <c r="D66" s="182" t="s">
        <v>280</v>
      </c>
      <c r="E66" s="183">
        <v>5763138.7834735401</v>
      </c>
      <c r="F66" s="183">
        <v>3568701.91283433</v>
      </c>
      <c r="G66" s="183">
        <v>6193194.2813410899</v>
      </c>
      <c r="H66" s="183">
        <v>8367306.03408961</v>
      </c>
      <c r="I66" s="183">
        <v>5299482.5348939197</v>
      </c>
      <c r="J66" s="183"/>
      <c r="K66" s="183"/>
      <c r="L66" s="183"/>
      <c r="M66" s="183"/>
      <c r="N66" s="183"/>
      <c r="O66" s="183"/>
    </row>
    <row r="67" spans="2:15" ht="24">
      <c r="B67" s="7">
        <v>64</v>
      </c>
      <c r="C67" s="181" t="s">
        <v>281</v>
      </c>
      <c r="D67" s="182" t="s">
        <v>282</v>
      </c>
      <c r="E67" s="183">
        <v>5817586.3534735404</v>
      </c>
      <c r="F67" s="183">
        <v>3657972.0328343301</v>
      </c>
      <c r="G67" s="183">
        <v>6242999.3513410902</v>
      </c>
      <c r="H67" s="183">
        <v>8432155.7140896097</v>
      </c>
      <c r="I67" s="183">
        <v>5343032.89489392</v>
      </c>
      <c r="J67" s="183"/>
      <c r="K67" s="183"/>
      <c r="L67" s="183"/>
      <c r="M67" s="183"/>
      <c r="N67" s="183"/>
      <c r="O67" s="183"/>
    </row>
    <row r="68" spans="2:15" ht="15">
      <c r="B68" s="7">
        <v>65</v>
      </c>
      <c r="C68" s="146" t="s">
        <v>164</v>
      </c>
      <c r="D68" s="146"/>
      <c r="E68" s="147"/>
      <c r="F68" s="147"/>
      <c r="G68" s="147"/>
      <c r="H68" s="147"/>
      <c r="I68" s="147"/>
      <c r="J68" s="146"/>
      <c r="K68" s="146"/>
      <c r="L68" s="146"/>
      <c r="M68" s="146"/>
      <c r="N68" s="146"/>
      <c r="O68" s="146"/>
    </row>
    <row r="69" spans="2:15" ht="12.6">
      <c r="B69" s="7">
        <v>66</v>
      </c>
      <c r="C69" s="145"/>
      <c r="D69" s="145"/>
      <c r="E69" s="145"/>
      <c r="F69" s="145"/>
      <c r="G69" s="145"/>
      <c r="H69" s="145"/>
      <c r="I69" s="145"/>
      <c r="J69" s="145"/>
      <c r="K69" s="145"/>
      <c r="L69" s="145"/>
      <c r="M69" s="145"/>
      <c r="N69" s="145"/>
      <c r="O69" s="145"/>
    </row>
    <row r="70" spans="2:15">
      <c r="B70" s="7">
        <v>67</v>
      </c>
      <c r="C70" s="178"/>
      <c r="D70" s="179" t="s">
        <v>167</v>
      </c>
      <c r="E70" s="178" t="s">
        <v>153</v>
      </c>
      <c r="F70" s="178" t="s">
        <v>285</v>
      </c>
      <c r="G70" s="178" t="s">
        <v>168</v>
      </c>
      <c r="H70" s="178" t="s">
        <v>168</v>
      </c>
      <c r="I70" s="178" t="s">
        <v>168</v>
      </c>
      <c r="J70" s="178"/>
      <c r="K70" s="178"/>
      <c r="L70" s="178"/>
      <c r="M70" s="178"/>
      <c r="N70" s="178"/>
      <c r="O70" s="178"/>
    </row>
    <row r="71" spans="2:15" ht="15">
      <c r="B71" s="7">
        <v>68</v>
      </c>
      <c r="C71" s="146" t="s">
        <v>164</v>
      </c>
      <c r="D71" s="146"/>
      <c r="E71" s="147"/>
      <c r="F71" s="147"/>
      <c r="G71" s="147"/>
      <c r="H71" s="147"/>
      <c r="I71" s="147"/>
      <c r="J71" s="146"/>
      <c r="K71" s="146"/>
      <c r="L71" s="146"/>
      <c r="M71" s="146"/>
      <c r="N71" s="146"/>
      <c r="O71" s="146"/>
    </row>
    <row r="72" spans="2:15" ht="12.6">
      <c r="B72" s="7">
        <v>69</v>
      </c>
      <c r="C72" s="145"/>
      <c r="D72" s="145"/>
      <c r="E72" s="145"/>
      <c r="F72" s="145"/>
      <c r="G72" s="145"/>
      <c r="H72" s="145"/>
      <c r="I72" s="145"/>
      <c r="J72" s="145"/>
      <c r="K72" s="145"/>
      <c r="L72" s="145"/>
      <c r="M72" s="145"/>
      <c r="N72" s="145"/>
      <c r="O72" s="145"/>
    </row>
    <row r="73" spans="2:15">
      <c r="B73" s="7">
        <v>70</v>
      </c>
      <c r="C73" s="178" t="s">
        <v>169</v>
      </c>
      <c r="D73" s="179" t="s">
        <v>170</v>
      </c>
      <c r="E73" s="180">
        <f>785558*30</f>
        <v>23566740</v>
      </c>
      <c r="F73" s="180">
        <v>573524</v>
      </c>
      <c r="G73" s="180">
        <v>950726</v>
      </c>
      <c r="H73" s="180">
        <v>1311025</v>
      </c>
      <c r="I73" s="180">
        <v>798955</v>
      </c>
      <c r="J73" s="196"/>
      <c r="K73" s="196"/>
      <c r="L73" s="196"/>
      <c r="M73" s="196"/>
      <c r="N73" s="196"/>
      <c r="O73" s="196"/>
    </row>
    <row r="74" spans="2:15" ht="15">
      <c r="B74" s="7">
        <v>71</v>
      </c>
      <c r="C74" s="146" t="s">
        <v>164</v>
      </c>
      <c r="D74" s="146"/>
      <c r="E74" s="147"/>
      <c r="F74" s="147"/>
      <c r="G74" s="147"/>
      <c r="H74" s="147"/>
      <c r="I74" s="147"/>
      <c r="J74" s="146"/>
      <c r="K74" s="146"/>
      <c r="L74" s="146"/>
      <c r="M74" s="146"/>
      <c r="N74" s="146"/>
      <c r="O74" s="146"/>
    </row>
    <row r="75" spans="2:15" ht="12.6">
      <c r="B75" s="7">
        <v>72</v>
      </c>
      <c r="C75" s="145"/>
      <c r="D75" s="145"/>
      <c r="E75" s="145"/>
      <c r="F75" s="145"/>
      <c r="G75" s="145"/>
      <c r="H75" s="145"/>
      <c r="I75" s="145"/>
      <c r="J75" s="145"/>
      <c r="K75" s="145"/>
      <c r="L75" s="145"/>
      <c r="M75" s="145"/>
      <c r="N75" s="145"/>
      <c r="O75" s="145"/>
    </row>
    <row r="76" spans="2:15" ht="12">
      <c r="B76" s="7">
        <v>73</v>
      </c>
      <c r="C76" s="178" t="s">
        <v>171</v>
      </c>
      <c r="D76" s="182" t="s">
        <v>172</v>
      </c>
      <c r="E76" s="196">
        <f>E66/E73</f>
        <v>0.2445454391856294</v>
      </c>
      <c r="F76" s="196">
        <v>6.2544051513101504</v>
      </c>
      <c r="G76" s="196">
        <v>6.4321139529159801</v>
      </c>
      <c r="H76" s="196">
        <v>6.3126511088652002</v>
      </c>
      <c r="I76" s="196">
        <v>6.56043326595365</v>
      </c>
      <c r="J76" s="196"/>
      <c r="K76" s="196"/>
      <c r="L76" s="196"/>
      <c r="M76" s="196"/>
      <c r="N76" s="196"/>
      <c r="O76" s="196"/>
    </row>
    <row r="77" spans="2:15" ht="48">
      <c r="B77" s="7">
        <v>74</v>
      </c>
      <c r="C77" s="178" t="s">
        <v>173</v>
      </c>
      <c r="D77" s="182" t="s">
        <v>283</v>
      </c>
      <c r="E77" s="196">
        <f>E67/E73</f>
        <v>0.24685579564562346</v>
      </c>
      <c r="F77" s="196">
        <v>6.3780627015335503</v>
      </c>
      <c r="G77" s="196">
        <v>6.5665600302727496</v>
      </c>
      <c r="H77" s="196">
        <v>6.4317276284507301</v>
      </c>
      <c r="I77" s="196">
        <v>6.6875267003697596</v>
      </c>
      <c r="J77" s="196"/>
      <c r="K77" s="196"/>
      <c r="L77" s="196"/>
      <c r="M77" s="196"/>
      <c r="N77" s="196"/>
      <c r="O77" s="196"/>
    </row>
    <row r="78" spans="2:15" ht="15">
      <c r="B78" s="7">
        <v>75</v>
      </c>
      <c r="C78" s="146" t="s">
        <v>164</v>
      </c>
      <c r="D78" s="146"/>
      <c r="E78" s="147"/>
      <c r="F78" s="147"/>
      <c r="G78" s="147"/>
      <c r="H78" s="147"/>
      <c r="I78" s="147"/>
      <c r="J78" s="146"/>
      <c r="K78" s="146"/>
      <c r="L78" s="146"/>
      <c r="M78" s="146"/>
      <c r="N78" s="146"/>
      <c r="O78" s="146"/>
    </row>
    <row r="79" spans="2:15" ht="12.6">
      <c r="B79" s="7">
        <v>76</v>
      </c>
      <c r="C79" s="145"/>
      <c r="D79" s="145"/>
      <c r="E79" s="145"/>
      <c r="F79" s="145"/>
      <c r="G79" s="145"/>
      <c r="H79" s="145"/>
      <c r="I79" s="145"/>
      <c r="J79" s="145"/>
      <c r="K79" s="145"/>
      <c r="L79" s="145"/>
      <c r="M79" s="145"/>
      <c r="N79" s="145"/>
      <c r="O79" s="145"/>
    </row>
    <row r="80" spans="2:15">
      <c r="B80" s="7">
        <v>77</v>
      </c>
      <c r="C80" s="178"/>
      <c r="D80" s="179" t="s">
        <v>165</v>
      </c>
      <c r="E80" s="178"/>
      <c r="F80" s="178"/>
      <c r="G80" s="178"/>
      <c r="H80" s="178"/>
      <c r="I80" s="178"/>
      <c r="J80" s="178"/>
      <c r="K80" s="178"/>
      <c r="L80" s="178"/>
      <c r="M80" s="178"/>
      <c r="N80" s="178"/>
      <c r="O80" s="178"/>
    </row>
    <row r="81" spans="2:15" ht="15">
      <c r="B81" s="7">
        <v>78</v>
      </c>
      <c r="C81" s="146" t="s">
        <v>164</v>
      </c>
      <c r="D81" s="146"/>
      <c r="E81" s="147"/>
      <c r="F81" s="147"/>
      <c r="G81" s="147"/>
      <c r="H81" s="147"/>
      <c r="I81" s="147"/>
      <c r="J81" s="146"/>
      <c r="K81" s="146"/>
      <c r="L81" s="146"/>
      <c r="M81" s="146"/>
      <c r="N81" s="146"/>
      <c r="O81" s="146"/>
    </row>
    <row r="82" spans="2:15" ht="12.6">
      <c r="B82" s="7">
        <v>79</v>
      </c>
      <c r="C82" s="145"/>
      <c r="D82" s="145"/>
      <c r="E82" s="145"/>
      <c r="F82" s="145"/>
      <c r="G82" s="145"/>
      <c r="H82" s="145"/>
      <c r="I82" s="145"/>
      <c r="J82" s="145"/>
      <c r="K82" s="145"/>
      <c r="L82" s="145"/>
      <c r="M82" s="145"/>
      <c r="N82" s="145"/>
      <c r="O82" s="145"/>
    </row>
    <row r="83" spans="2:15">
      <c r="B83" s="7">
        <v>80</v>
      </c>
      <c r="C83" s="178"/>
      <c r="D83" s="179" t="s">
        <v>43</v>
      </c>
      <c r="E83" s="196">
        <v>860119.87</v>
      </c>
      <c r="F83" s="196">
        <v>480500.1</v>
      </c>
      <c r="G83" s="196">
        <v>678683.53</v>
      </c>
      <c r="H83" s="196">
        <v>1168963.75</v>
      </c>
      <c r="I83" s="196">
        <v>741401.96</v>
      </c>
      <c r="J83" s="196"/>
      <c r="K83" s="196"/>
      <c r="L83" s="196"/>
      <c r="M83" s="196"/>
      <c r="N83" s="196"/>
      <c r="O83" s="196"/>
    </row>
    <row r="84" spans="2:15">
      <c r="B84" s="7">
        <v>81</v>
      </c>
      <c r="C84" s="178"/>
      <c r="D84" s="179" t="s">
        <v>44</v>
      </c>
      <c r="E84" s="196">
        <v>8.44</v>
      </c>
      <c r="F84" s="196">
        <v>3.34</v>
      </c>
      <c r="G84" s="196">
        <v>6.74</v>
      </c>
      <c r="H84" s="196">
        <v>9.2899999999999991</v>
      </c>
      <c r="I84" s="196">
        <v>6.87</v>
      </c>
      <c r="J84" s="196"/>
      <c r="K84" s="196"/>
      <c r="L84" s="196"/>
      <c r="M84" s="196"/>
      <c r="N84" s="196"/>
      <c r="O84" s="196"/>
    </row>
    <row r="85" spans="2:15" ht="24">
      <c r="B85" s="7">
        <v>82</v>
      </c>
      <c r="C85" s="197"/>
      <c r="D85" s="198" t="s">
        <v>166</v>
      </c>
      <c r="E85" s="199">
        <v>101909.9372</v>
      </c>
      <c r="F85" s="199">
        <v>143862.30540000001</v>
      </c>
      <c r="G85" s="199">
        <v>100694.8858</v>
      </c>
      <c r="H85" s="199">
        <v>125830.32829999999</v>
      </c>
      <c r="I85" s="199">
        <v>107918.7715</v>
      </c>
      <c r="J85" s="199"/>
      <c r="K85" s="199"/>
      <c r="L85" s="199"/>
      <c r="M85" s="199"/>
      <c r="N85" s="199"/>
      <c r="O85" s="199"/>
    </row>
    <row r="86" spans="2:15" ht="15">
      <c r="B86" s="7">
        <v>83</v>
      </c>
      <c r="C86" s="146" t="s">
        <v>164</v>
      </c>
      <c r="D86" s="146"/>
      <c r="E86" s="147"/>
      <c r="F86" s="147"/>
      <c r="G86" s="147"/>
      <c r="H86" s="147"/>
      <c r="I86" s="147"/>
      <c r="J86" s="146"/>
      <c r="K86" s="146"/>
      <c r="L86" s="146"/>
      <c r="M86" s="146"/>
      <c r="N86" s="146"/>
      <c r="O86" s="146"/>
    </row>
    <row r="87" spans="2:15" ht="12.6">
      <c r="B87" s="7">
        <v>84</v>
      </c>
      <c r="C87" s="145"/>
      <c r="D87" s="145"/>
      <c r="E87" s="145"/>
      <c r="F87" s="145"/>
      <c r="G87" s="145"/>
      <c r="H87" s="145"/>
      <c r="I87" s="145"/>
      <c r="J87" s="145"/>
      <c r="K87" s="145"/>
      <c r="L87" s="145"/>
      <c r="M87" s="145"/>
      <c r="N87" s="145"/>
      <c r="O87" s="145"/>
    </row>
    <row r="88" spans="2:15">
      <c r="B88" s="7">
        <v>85</v>
      </c>
      <c r="C88" s="178"/>
      <c r="D88" s="179" t="s">
        <v>45</v>
      </c>
      <c r="E88" s="196">
        <v>168525.5</v>
      </c>
      <c r="F88" s="196">
        <v>95313.19</v>
      </c>
      <c r="G88" s="196">
        <v>188492.52</v>
      </c>
      <c r="H88" s="196">
        <v>244142.68</v>
      </c>
      <c r="I88" s="196">
        <v>126711.67999999999</v>
      </c>
      <c r="J88" s="196"/>
      <c r="K88" s="196"/>
      <c r="L88" s="196"/>
      <c r="M88" s="196"/>
      <c r="N88" s="196"/>
      <c r="O88" s="196"/>
    </row>
    <row r="89" spans="2:15">
      <c r="B89" s="7">
        <v>86</v>
      </c>
      <c r="C89" s="178"/>
      <c r="D89" s="179" t="s">
        <v>46</v>
      </c>
      <c r="E89" s="196">
        <v>3.49</v>
      </c>
      <c r="F89" s="196">
        <v>2.23</v>
      </c>
      <c r="G89" s="196">
        <v>4.08</v>
      </c>
      <c r="H89" s="196">
        <v>4.25</v>
      </c>
      <c r="I89" s="196">
        <v>2.39</v>
      </c>
      <c r="J89" s="196"/>
      <c r="K89" s="196"/>
      <c r="L89" s="196"/>
      <c r="M89" s="196"/>
      <c r="N89" s="196"/>
      <c r="O89" s="196"/>
    </row>
    <row r="90" spans="2:15" ht="12">
      <c r="B90" s="7">
        <v>87</v>
      </c>
      <c r="C90" s="197"/>
      <c r="D90" s="198" t="s">
        <v>47</v>
      </c>
      <c r="E90" s="199">
        <v>48288.108899999999</v>
      </c>
      <c r="F90" s="199">
        <v>42741.340799999998</v>
      </c>
      <c r="G90" s="199">
        <v>46199.147100000002</v>
      </c>
      <c r="H90" s="199">
        <v>57445.336499999998</v>
      </c>
      <c r="I90" s="199">
        <v>53017.439299999998</v>
      </c>
      <c r="J90" s="199"/>
      <c r="K90" s="199"/>
      <c r="L90" s="199"/>
      <c r="M90" s="199"/>
      <c r="N90" s="199"/>
      <c r="O90" s="199"/>
    </row>
    <row r="91" spans="2:15" ht="15">
      <c r="B91" s="7">
        <v>88</v>
      </c>
      <c r="C91" s="146" t="s">
        <v>164</v>
      </c>
      <c r="D91" s="146"/>
      <c r="E91" s="147"/>
      <c r="F91" s="147"/>
      <c r="G91" s="147"/>
      <c r="H91" s="147"/>
      <c r="I91" s="147"/>
      <c r="J91" s="146"/>
      <c r="K91" s="146"/>
      <c r="L91" s="146"/>
      <c r="M91" s="146"/>
      <c r="N91" s="146"/>
      <c r="O91" s="146"/>
    </row>
    <row r="92" spans="2:15" ht="12.6">
      <c r="B92" s="7">
        <v>89</v>
      </c>
      <c r="C92" s="145"/>
      <c r="D92" s="145"/>
      <c r="E92" s="145"/>
      <c r="F92" s="145"/>
      <c r="G92" s="145"/>
      <c r="H92" s="145"/>
      <c r="I92" s="145"/>
      <c r="J92" s="145"/>
      <c r="K92" s="145"/>
      <c r="L92" s="145"/>
      <c r="M92" s="145"/>
      <c r="N92" s="145"/>
      <c r="O92" s="145"/>
    </row>
    <row r="93" spans="2:15">
      <c r="B93" s="7">
        <v>90</v>
      </c>
      <c r="C93" s="178"/>
      <c r="D93" s="179" t="s">
        <v>150</v>
      </c>
      <c r="E93" s="196">
        <v>0</v>
      </c>
      <c r="F93" s="196">
        <v>0</v>
      </c>
      <c r="G93" s="196">
        <v>0</v>
      </c>
      <c r="H93" s="196">
        <v>0</v>
      </c>
      <c r="I93" s="196">
        <v>0</v>
      </c>
      <c r="J93" s="196"/>
      <c r="K93" s="196"/>
      <c r="L93" s="196"/>
      <c r="M93" s="196"/>
      <c r="N93" s="196"/>
      <c r="O93" s="196"/>
    </row>
    <row r="94" spans="2:15">
      <c r="B94" s="7">
        <v>91</v>
      </c>
      <c r="C94" s="178"/>
      <c r="D94" s="179" t="s">
        <v>284</v>
      </c>
      <c r="E94" s="196">
        <v>0</v>
      </c>
      <c r="F94" s="196">
        <v>0</v>
      </c>
      <c r="G94" s="196">
        <v>0</v>
      </c>
      <c r="H94" s="196">
        <v>0</v>
      </c>
      <c r="I94" s="196">
        <v>0</v>
      </c>
      <c r="J94" s="196"/>
      <c r="K94" s="196"/>
      <c r="L94" s="196"/>
      <c r="M94" s="196"/>
      <c r="N94" s="196"/>
      <c r="O94" s="196"/>
    </row>
    <row r="95" spans="2:15" ht="24">
      <c r="B95" s="7">
        <v>92</v>
      </c>
      <c r="C95" s="200"/>
      <c r="D95" s="201" t="s">
        <v>151</v>
      </c>
      <c r="E95" s="202" t="s">
        <v>154</v>
      </c>
      <c r="F95" s="202" t="s">
        <v>154</v>
      </c>
      <c r="G95" s="202" t="s">
        <v>154</v>
      </c>
      <c r="H95" s="202" t="s">
        <v>154</v>
      </c>
      <c r="I95" s="202" t="s">
        <v>154</v>
      </c>
      <c r="J95" s="202"/>
      <c r="K95" s="202"/>
      <c r="L95" s="202"/>
      <c r="M95" s="202"/>
      <c r="N95" s="202"/>
      <c r="O95" s="202"/>
    </row>
    <row r="96" spans="2:15" ht="15">
      <c r="B96" s="7">
        <v>93</v>
      </c>
      <c r="C96" s="146" t="s">
        <v>164</v>
      </c>
      <c r="D96" s="146"/>
      <c r="E96" s="147"/>
      <c r="F96" s="147"/>
      <c r="G96" s="147"/>
      <c r="H96" s="147"/>
      <c r="I96" s="147"/>
      <c r="J96" s="146"/>
      <c r="K96" s="146"/>
      <c r="L96" s="146"/>
      <c r="M96" s="146"/>
      <c r="N96" s="146"/>
      <c r="O96" s="146"/>
    </row>
    <row r="97" spans="2:15" ht="12.6">
      <c r="B97" s="7">
        <v>94</v>
      </c>
      <c r="C97" s="145"/>
      <c r="D97" s="145"/>
      <c r="E97" s="145"/>
      <c r="F97" s="145"/>
      <c r="G97" s="145"/>
      <c r="H97" s="145"/>
      <c r="I97" s="145"/>
      <c r="J97" s="145"/>
      <c r="K97" s="145"/>
      <c r="L97" s="145"/>
      <c r="M97" s="145"/>
      <c r="N97" s="145"/>
      <c r="O97" s="145"/>
    </row>
    <row r="98" spans="2:15">
      <c r="B98" s="7">
        <v>95</v>
      </c>
      <c r="C98" s="178"/>
      <c r="D98" s="179" t="s">
        <v>48</v>
      </c>
      <c r="E98" s="196">
        <v>1942026.84</v>
      </c>
      <c r="F98" s="196">
        <v>1095768.26</v>
      </c>
      <c r="G98" s="196">
        <v>2094205.79</v>
      </c>
      <c r="H98" s="196">
        <v>3173619.27</v>
      </c>
      <c r="I98" s="196">
        <v>1978126.96</v>
      </c>
      <c r="J98" s="196"/>
      <c r="K98" s="196"/>
      <c r="L98" s="196"/>
      <c r="M98" s="196"/>
      <c r="N98" s="196"/>
      <c r="O98" s="196"/>
    </row>
    <row r="99" spans="2:15">
      <c r="B99" s="7">
        <v>96</v>
      </c>
      <c r="C99" s="178"/>
      <c r="D99" s="179" t="s">
        <v>49</v>
      </c>
      <c r="E99" s="196">
        <v>38.479999999999997</v>
      </c>
      <c r="F99" s="196">
        <v>20.420000000000002</v>
      </c>
      <c r="G99" s="196">
        <v>35.479999999999997</v>
      </c>
      <c r="H99" s="196">
        <v>58.57</v>
      </c>
      <c r="I99" s="196">
        <v>37.229999999999997</v>
      </c>
      <c r="J99" s="196"/>
      <c r="K99" s="196"/>
      <c r="L99" s="196"/>
      <c r="M99" s="196"/>
      <c r="N99" s="196"/>
      <c r="O99" s="196"/>
    </row>
    <row r="100" spans="2:15" ht="12">
      <c r="B100" s="7">
        <v>97</v>
      </c>
      <c r="C100" s="203"/>
      <c r="D100" s="204" t="s">
        <v>50</v>
      </c>
      <c r="E100" s="205">
        <v>50468.472999999998</v>
      </c>
      <c r="F100" s="205">
        <v>53661.521099999998</v>
      </c>
      <c r="G100" s="205">
        <v>59024.965900000003</v>
      </c>
      <c r="H100" s="205">
        <v>54185.065199999997</v>
      </c>
      <c r="I100" s="205">
        <v>53132.607000000004</v>
      </c>
      <c r="J100" s="205"/>
      <c r="K100" s="205"/>
      <c r="L100" s="205"/>
      <c r="M100" s="205"/>
      <c r="N100" s="205"/>
      <c r="O100" s="205"/>
    </row>
    <row r="101" spans="2:15" ht="15">
      <c r="B101" s="7">
        <v>98</v>
      </c>
      <c r="C101" s="146" t="s">
        <v>164</v>
      </c>
      <c r="D101" s="146"/>
      <c r="E101" s="147"/>
      <c r="F101" s="147"/>
      <c r="G101" s="147"/>
      <c r="H101" s="147"/>
      <c r="I101" s="147"/>
      <c r="J101" s="146"/>
      <c r="K101" s="146"/>
      <c r="L101" s="146"/>
      <c r="M101" s="146"/>
      <c r="N101" s="146"/>
      <c r="O101" s="146"/>
    </row>
    <row r="102" spans="2:15" ht="12.6">
      <c r="B102" s="7">
        <v>99</v>
      </c>
      <c r="C102" s="145"/>
      <c r="D102" s="145"/>
      <c r="E102" s="145"/>
      <c r="F102" s="145"/>
      <c r="G102" s="145"/>
      <c r="H102" s="145"/>
      <c r="I102" s="145"/>
      <c r="J102" s="145"/>
      <c r="K102" s="145"/>
      <c r="L102" s="145"/>
      <c r="M102" s="145"/>
      <c r="N102" s="145"/>
      <c r="O102" s="145"/>
    </row>
    <row r="103" spans="2:15">
      <c r="B103" s="7">
        <v>100</v>
      </c>
      <c r="C103" s="178"/>
      <c r="D103" s="179" t="s">
        <v>51</v>
      </c>
      <c r="E103" s="196">
        <v>731039.77</v>
      </c>
      <c r="F103" s="196">
        <v>688756.44</v>
      </c>
      <c r="G103" s="196">
        <v>988673.67</v>
      </c>
      <c r="H103" s="196">
        <v>964618.93</v>
      </c>
      <c r="I103" s="196">
        <v>766441.54</v>
      </c>
      <c r="J103" s="196"/>
      <c r="K103" s="196"/>
      <c r="L103" s="196"/>
      <c r="M103" s="196"/>
      <c r="N103" s="196"/>
      <c r="O103" s="196"/>
    </row>
    <row r="104" spans="2:15">
      <c r="B104" s="7">
        <v>101</v>
      </c>
      <c r="C104" s="178"/>
      <c r="D104" s="179" t="s">
        <v>52</v>
      </c>
      <c r="E104" s="196">
        <v>17.23</v>
      </c>
      <c r="F104" s="196">
        <v>51.03</v>
      </c>
      <c r="G104" s="196">
        <v>20.62</v>
      </c>
      <c r="H104" s="196">
        <v>14.19</v>
      </c>
      <c r="I104" s="196">
        <v>12.08</v>
      </c>
      <c r="J104" s="196"/>
      <c r="K104" s="196"/>
      <c r="L104" s="196"/>
      <c r="M104" s="196"/>
      <c r="N104" s="196"/>
      <c r="O104" s="196"/>
    </row>
    <row r="105" spans="2:15" ht="12">
      <c r="B105" s="7">
        <v>102</v>
      </c>
      <c r="C105" s="206"/>
      <c r="D105" s="207" t="s">
        <v>53</v>
      </c>
      <c r="E105" s="208">
        <v>42428.309300000001</v>
      </c>
      <c r="F105" s="208">
        <v>13497.0888</v>
      </c>
      <c r="G105" s="208">
        <v>47947.316700000003</v>
      </c>
      <c r="H105" s="208">
        <v>67978.782900000006</v>
      </c>
      <c r="I105" s="208">
        <v>63447.147400000002</v>
      </c>
      <c r="J105" s="208"/>
      <c r="K105" s="208"/>
      <c r="L105" s="208"/>
      <c r="M105" s="208"/>
      <c r="N105" s="208"/>
      <c r="O105" s="208"/>
    </row>
    <row r="106" spans="2:15" ht="15">
      <c r="B106" s="7">
        <v>103</v>
      </c>
      <c r="C106" s="146" t="s">
        <v>164</v>
      </c>
      <c r="D106" s="146"/>
      <c r="E106" s="147"/>
      <c r="F106" s="147"/>
      <c r="G106" s="147"/>
      <c r="H106" s="147"/>
      <c r="I106" s="147"/>
      <c r="J106" s="146"/>
      <c r="K106" s="146"/>
      <c r="L106" s="146"/>
      <c r="M106" s="146"/>
      <c r="N106" s="146"/>
      <c r="O106" s="146"/>
    </row>
    <row r="107" spans="2:15" ht="12.6">
      <c r="B107" s="7">
        <v>104</v>
      </c>
      <c r="C107" s="145"/>
      <c r="D107" s="145"/>
      <c r="E107" s="145"/>
      <c r="F107" s="145"/>
      <c r="G107" s="145"/>
      <c r="H107" s="145"/>
      <c r="I107" s="145"/>
      <c r="J107" s="145"/>
      <c r="K107" s="145"/>
      <c r="L107" s="145"/>
      <c r="M107" s="145"/>
      <c r="N107" s="145"/>
      <c r="O107" s="145"/>
    </row>
    <row r="108" spans="2:15">
      <c r="B108" s="7">
        <v>105</v>
      </c>
      <c r="C108" s="178"/>
      <c r="D108" s="179" t="s">
        <v>54</v>
      </c>
      <c r="E108" s="196">
        <v>2673066.61</v>
      </c>
      <c r="F108" s="196">
        <v>1784524.7</v>
      </c>
      <c r="G108" s="196">
        <v>3082879.46</v>
      </c>
      <c r="H108" s="196">
        <v>4138238.2</v>
      </c>
      <c r="I108" s="196">
        <v>2744568.5</v>
      </c>
      <c r="J108" s="196"/>
      <c r="K108" s="196"/>
      <c r="L108" s="196"/>
      <c r="M108" s="196"/>
      <c r="N108" s="196"/>
      <c r="O108" s="196"/>
    </row>
    <row r="109" spans="2:15">
      <c r="B109" s="7">
        <v>106</v>
      </c>
      <c r="C109" s="178"/>
      <c r="D109" s="179" t="s">
        <v>55</v>
      </c>
      <c r="E109" s="196">
        <v>55.71</v>
      </c>
      <c r="F109" s="196">
        <v>71.45</v>
      </c>
      <c r="G109" s="196">
        <v>56.1</v>
      </c>
      <c r="H109" s="196">
        <v>72.760000000000005</v>
      </c>
      <c r="I109" s="196">
        <v>49.31</v>
      </c>
      <c r="J109" s="196"/>
      <c r="K109" s="196"/>
      <c r="L109" s="196"/>
      <c r="M109" s="196"/>
      <c r="N109" s="196"/>
      <c r="O109" s="196"/>
    </row>
    <row r="110" spans="2:15" ht="12">
      <c r="B110" s="7">
        <v>107</v>
      </c>
      <c r="C110" s="209"/>
      <c r="D110" s="210" t="s">
        <v>56</v>
      </c>
      <c r="E110" s="211">
        <v>47981.809500000003</v>
      </c>
      <c r="F110" s="211">
        <v>24975.852999999999</v>
      </c>
      <c r="G110" s="211">
        <v>54953.288099999998</v>
      </c>
      <c r="H110" s="211">
        <v>56875.181400000001</v>
      </c>
      <c r="I110" s="211">
        <v>55659.470699999998</v>
      </c>
      <c r="J110" s="211"/>
      <c r="K110" s="211"/>
      <c r="L110" s="211"/>
      <c r="M110" s="211"/>
      <c r="N110" s="211"/>
      <c r="O110" s="211"/>
    </row>
    <row r="111" spans="2:15" ht="15">
      <c r="B111" s="7">
        <v>108</v>
      </c>
      <c r="C111" s="146" t="s">
        <v>164</v>
      </c>
      <c r="D111" s="146"/>
      <c r="E111" s="147"/>
      <c r="F111" s="147"/>
      <c r="G111" s="147"/>
      <c r="H111" s="147"/>
      <c r="I111" s="147"/>
      <c r="J111" s="146"/>
      <c r="K111" s="146"/>
      <c r="L111" s="146"/>
      <c r="M111" s="146"/>
      <c r="N111" s="146"/>
      <c r="O111" s="146"/>
    </row>
    <row r="112" spans="2:15" ht="12.6">
      <c r="B112" s="7">
        <v>109</v>
      </c>
      <c r="C112" s="145"/>
      <c r="D112" s="145"/>
      <c r="E112" s="145"/>
      <c r="F112" s="145"/>
      <c r="G112" s="145"/>
      <c r="H112" s="145"/>
      <c r="I112" s="145"/>
      <c r="J112" s="145"/>
      <c r="K112" s="145"/>
      <c r="L112" s="145"/>
      <c r="M112" s="145"/>
      <c r="N112" s="145"/>
      <c r="O112" s="145"/>
    </row>
    <row r="113" spans="2:15" ht="24">
      <c r="B113" s="7">
        <v>110</v>
      </c>
      <c r="C113" s="212"/>
      <c r="D113" s="213" t="s">
        <v>219</v>
      </c>
      <c r="E113" s="214" t="s">
        <v>154</v>
      </c>
      <c r="F113" s="214" t="s">
        <v>154</v>
      </c>
      <c r="G113" s="214" t="s">
        <v>154</v>
      </c>
      <c r="H113" s="214" t="s">
        <v>154</v>
      </c>
      <c r="I113" s="214" t="s">
        <v>154</v>
      </c>
      <c r="J113" s="214"/>
      <c r="K113" s="214"/>
      <c r="L113" s="214"/>
      <c r="M113" s="214"/>
      <c r="N113" s="214"/>
      <c r="O113" s="214"/>
    </row>
    <row r="114" spans="2:15">
      <c r="B114" s="7">
        <v>111</v>
      </c>
      <c r="C114" s="178" t="s">
        <v>212</v>
      </c>
      <c r="D114" s="179" t="s">
        <v>213</v>
      </c>
      <c r="E114" s="180">
        <v>117676.43</v>
      </c>
      <c r="F114" s="180">
        <v>64398.82</v>
      </c>
      <c r="G114" s="180">
        <v>87036.55</v>
      </c>
      <c r="H114" s="180">
        <v>151709.35</v>
      </c>
      <c r="I114" s="180">
        <v>79525.52</v>
      </c>
      <c r="J114" s="180"/>
      <c r="K114" s="180"/>
      <c r="L114" s="180"/>
      <c r="M114" s="180"/>
      <c r="N114" s="180"/>
      <c r="O114" s="180"/>
    </row>
    <row r="115" spans="2:15">
      <c r="B115" s="7">
        <v>112</v>
      </c>
      <c r="C115" s="178" t="s">
        <v>214</v>
      </c>
      <c r="D115" s="179" t="s">
        <v>215</v>
      </c>
      <c r="E115" s="180">
        <v>894566.59</v>
      </c>
      <c r="F115" s="180">
        <v>501350.6</v>
      </c>
      <c r="G115" s="180">
        <v>710608.34</v>
      </c>
      <c r="H115" s="180">
        <v>1212746.72</v>
      </c>
      <c r="I115" s="180">
        <v>775322.52</v>
      </c>
      <c r="J115" s="180"/>
      <c r="K115" s="180"/>
      <c r="L115" s="180"/>
      <c r="M115" s="180"/>
      <c r="N115" s="180"/>
      <c r="O115" s="180"/>
    </row>
    <row r="116" spans="2:15">
      <c r="B116" s="7">
        <v>113</v>
      </c>
      <c r="C116" s="178" t="s">
        <v>220</v>
      </c>
      <c r="D116" s="179" t="s">
        <v>221</v>
      </c>
      <c r="E116" s="180">
        <v>199627.36</v>
      </c>
      <c r="F116" s="180">
        <v>168155.18</v>
      </c>
      <c r="G116" s="180">
        <v>258862.59</v>
      </c>
      <c r="H116" s="180">
        <v>311123.73</v>
      </c>
      <c r="I116" s="180">
        <v>195163.07</v>
      </c>
      <c r="J116" s="180"/>
      <c r="K116" s="180"/>
      <c r="L116" s="180"/>
      <c r="M116" s="180"/>
      <c r="N116" s="180"/>
      <c r="O116" s="180"/>
    </row>
    <row r="117" spans="2:15">
      <c r="B117" s="7">
        <v>114</v>
      </c>
      <c r="C117" s="178" t="s">
        <v>216</v>
      </c>
      <c r="D117" s="179" t="s">
        <v>217</v>
      </c>
      <c r="E117" s="180">
        <v>168525.5</v>
      </c>
      <c r="F117" s="180">
        <v>95313.19</v>
      </c>
      <c r="G117" s="180">
        <v>188492.52</v>
      </c>
      <c r="H117" s="180">
        <v>244142.68</v>
      </c>
      <c r="I117" s="180">
        <v>126711.67999999999</v>
      </c>
      <c r="J117" s="180"/>
      <c r="K117" s="180"/>
      <c r="L117" s="180"/>
      <c r="M117" s="180"/>
      <c r="N117" s="180"/>
      <c r="O117" s="180"/>
    </row>
    <row r="118" spans="2:15">
      <c r="B118" s="7">
        <v>115</v>
      </c>
      <c r="C118" s="178" t="s">
        <v>222</v>
      </c>
      <c r="D118" s="179" t="s">
        <v>223</v>
      </c>
      <c r="E118" s="180" t="s">
        <v>154</v>
      </c>
      <c r="F118" s="180" t="s">
        <v>154</v>
      </c>
      <c r="G118" s="180" t="s">
        <v>154</v>
      </c>
      <c r="H118" s="180" t="s">
        <v>154</v>
      </c>
      <c r="I118" s="180" t="s">
        <v>154</v>
      </c>
      <c r="J118" s="180"/>
      <c r="K118" s="180"/>
      <c r="L118" s="180"/>
      <c r="M118" s="180"/>
      <c r="N118" s="180"/>
      <c r="O118" s="180"/>
    </row>
    <row r="119" spans="2:15">
      <c r="B119" s="7">
        <v>116</v>
      </c>
      <c r="C119" s="178" t="s">
        <v>224</v>
      </c>
      <c r="D119" s="179" t="s">
        <v>225</v>
      </c>
      <c r="E119" s="180">
        <v>207.52</v>
      </c>
      <c r="F119" s="180">
        <v>178.48</v>
      </c>
      <c r="G119" s="180">
        <v>292.42</v>
      </c>
      <c r="H119" s="180">
        <v>339.23</v>
      </c>
      <c r="I119" s="180">
        <v>174.87</v>
      </c>
      <c r="J119" s="180"/>
      <c r="K119" s="180"/>
      <c r="L119" s="180"/>
      <c r="M119" s="180"/>
      <c r="N119" s="180"/>
      <c r="O119" s="180"/>
    </row>
    <row r="120" spans="2:15">
      <c r="B120" s="7">
        <v>117</v>
      </c>
      <c r="C120" s="178" t="s">
        <v>226</v>
      </c>
      <c r="D120" s="179" t="s">
        <v>227</v>
      </c>
      <c r="E120" s="180">
        <v>13711.24</v>
      </c>
      <c r="F120" s="180">
        <v>8138.38</v>
      </c>
      <c r="G120" s="180">
        <v>14155.73</v>
      </c>
      <c r="H120" s="180">
        <v>18879.650000000001</v>
      </c>
      <c r="I120" s="180">
        <v>13238.71</v>
      </c>
      <c r="J120" s="180"/>
      <c r="K120" s="180"/>
      <c r="L120" s="180"/>
      <c r="M120" s="180"/>
      <c r="N120" s="180"/>
      <c r="O120" s="180"/>
    </row>
    <row r="121" spans="2:15">
      <c r="B121" s="7">
        <v>118</v>
      </c>
      <c r="C121" s="178" t="s">
        <v>228</v>
      </c>
      <c r="D121" s="179" t="s">
        <v>229</v>
      </c>
      <c r="E121" s="180">
        <v>1942819.01</v>
      </c>
      <c r="F121" s="180">
        <v>1096368.24</v>
      </c>
      <c r="G121" s="180">
        <v>2095085.52</v>
      </c>
      <c r="H121" s="180">
        <v>3174845.19</v>
      </c>
      <c r="I121" s="180">
        <v>1978942.38</v>
      </c>
      <c r="J121" s="180"/>
      <c r="K121" s="180"/>
      <c r="L121" s="180"/>
      <c r="M121" s="180"/>
      <c r="N121" s="180"/>
      <c r="O121" s="180"/>
    </row>
    <row r="122" spans="2:15">
      <c r="B122" s="7">
        <v>119</v>
      </c>
      <c r="C122" s="178" t="s">
        <v>230</v>
      </c>
      <c r="D122" s="179" t="s">
        <v>231</v>
      </c>
      <c r="E122" s="180">
        <v>4609.7299999999996</v>
      </c>
      <c r="F122" s="180">
        <v>2525.66</v>
      </c>
      <c r="G122" s="180">
        <v>4146.62</v>
      </c>
      <c r="H122" s="180">
        <v>6957.68</v>
      </c>
      <c r="I122" s="180">
        <v>3435.76</v>
      </c>
      <c r="J122" s="180"/>
      <c r="K122" s="180"/>
      <c r="L122" s="180"/>
      <c r="M122" s="180"/>
      <c r="N122" s="180"/>
      <c r="O122" s="180"/>
    </row>
    <row r="123" spans="2:15">
      <c r="B123" s="7">
        <v>120</v>
      </c>
      <c r="C123" s="178" t="s">
        <v>232</v>
      </c>
      <c r="D123" s="179" t="s">
        <v>233</v>
      </c>
      <c r="E123" s="180">
        <v>731039.77</v>
      </c>
      <c r="F123" s="180">
        <v>688756.44</v>
      </c>
      <c r="G123" s="180">
        <v>988673.67</v>
      </c>
      <c r="H123" s="180">
        <v>964618.93</v>
      </c>
      <c r="I123" s="180">
        <v>766441.54</v>
      </c>
      <c r="J123" s="180"/>
      <c r="K123" s="180"/>
      <c r="L123" s="180"/>
      <c r="M123" s="180"/>
      <c r="N123" s="180"/>
      <c r="O123" s="180"/>
    </row>
    <row r="124" spans="2:15">
      <c r="B124" s="7">
        <v>121</v>
      </c>
      <c r="C124" s="178" t="s">
        <v>178</v>
      </c>
      <c r="D124" s="179" t="s">
        <v>179</v>
      </c>
      <c r="E124" s="180" t="s">
        <v>154</v>
      </c>
      <c r="F124" s="180" t="s">
        <v>154</v>
      </c>
      <c r="G124" s="180" t="s">
        <v>154</v>
      </c>
      <c r="H124" s="180" t="s">
        <v>154</v>
      </c>
      <c r="I124" s="180" t="s">
        <v>154</v>
      </c>
      <c r="J124" s="180"/>
      <c r="K124" s="180"/>
      <c r="L124" s="180"/>
      <c r="M124" s="180"/>
      <c r="N124" s="180"/>
      <c r="O124" s="180"/>
    </row>
    <row r="125" spans="2:15" ht="15">
      <c r="B125" s="7">
        <v>122</v>
      </c>
      <c r="C125" s="146" t="s">
        <v>164</v>
      </c>
      <c r="D125" s="146"/>
      <c r="E125" s="147"/>
      <c r="F125" s="147"/>
      <c r="G125" s="147"/>
      <c r="H125" s="147"/>
      <c r="I125" s="147"/>
      <c r="J125" s="146"/>
      <c r="K125" s="146"/>
      <c r="L125" s="146"/>
      <c r="M125" s="146"/>
      <c r="N125" s="146"/>
      <c r="O125" s="146"/>
    </row>
    <row r="126" spans="2:15" ht="12.6">
      <c r="B126" s="7">
        <v>123</v>
      </c>
      <c r="C126" s="145"/>
      <c r="D126" s="145"/>
      <c r="E126" s="145"/>
      <c r="F126" s="145"/>
      <c r="G126" s="145"/>
      <c r="H126" s="145"/>
      <c r="I126" s="145"/>
      <c r="J126" s="145"/>
      <c r="K126" s="145"/>
      <c r="L126" s="145"/>
      <c r="M126" s="145"/>
      <c r="N126" s="145"/>
      <c r="O126" s="145"/>
    </row>
    <row r="127" spans="2:15" ht="24">
      <c r="B127" s="7">
        <v>124</v>
      </c>
      <c r="C127" s="212"/>
      <c r="D127" s="213" t="s">
        <v>177</v>
      </c>
      <c r="E127" s="214" t="s">
        <v>154</v>
      </c>
      <c r="F127" s="214" t="s">
        <v>154</v>
      </c>
      <c r="G127" s="214" t="s">
        <v>154</v>
      </c>
      <c r="H127" s="214" t="s">
        <v>154</v>
      </c>
      <c r="I127" s="214" t="s">
        <v>154</v>
      </c>
      <c r="J127" s="214"/>
      <c r="K127" s="214"/>
      <c r="L127" s="214"/>
      <c r="M127" s="214"/>
      <c r="N127" s="214"/>
      <c r="O127" s="214"/>
    </row>
    <row r="128" spans="2:15" ht="22.8">
      <c r="B128" s="7">
        <v>125</v>
      </c>
      <c r="C128" s="178" t="s">
        <v>180</v>
      </c>
      <c r="D128" s="179" t="s">
        <v>181</v>
      </c>
      <c r="E128" s="180" t="s">
        <v>154</v>
      </c>
      <c r="F128" s="180" t="s">
        <v>154</v>
      </c>
      <c r="G128" s="180" t="s">
        <v>154</v>
      </c>
      <c r="H128" s="180" t="s">
        <v>154</v>
      </c>
      <c r="I128" s="180" t="s">
        <v>154</v>
      </c>
      <c r="J128" s="180"/>
      <c r="K128" s="180"/>
      <c r="L128" s="180"/>
      <c r="M128" s="180"/>
      <c r="N128" s="180"/>
      <c r="O128" s="180"/>
    </row>
    <row r="129" spans="1:15">
      <c r="B129" s="7">
        <v>126</v>
      </c>
      <c r="C129" s="178" t="s">
        <v>182</v>
      </c>
      <c r="D129" s="179" t="s">
        <v>183</v>
      </c>
      <c r="E129" s="180">
        <v>176318.46</v>
      </c>
      <c r="F129" s="180">
        <v>96159.21</v>
      </c>
      <c r="G129" s="180">
        <v>197208.77</v>
      </c>
      <c r="H129" s="180">
        <v>269890.74</v>
      </c>
      <c r="I129" s="180">
        <v>123321.93</v>
      </c>
      <c r="J129" s="180"/>
      <c r="K129" s="180"/>
      <c r="L129" s="180"/>
      <c r="M129" s="180"/>
      <c r="N129" s="180"/>
      <c r="O129" s="180"/>
    </row>
    <row r="130" spans="1:15">
      <c r="B130" s="7">
        <v>127</v>
      </c>
      <c r="C130" s="178" t="s">
        <v>184</v>
      </c>
      <c r="D130" s="179" t="s">
        <v>185</v>
      </c>
      <c r="E130" s="180">
        <v>3527.61</v>
      </c>
      <c r="F130" s="180">
        <v>1887.93</v>
      </c>
      <c r="G130" s="180">
        <v>2722</v>
      </c>
      <c r="H130" s="180">
        <v>3755.57</v>
      </c>
      <c r="I130" s="180">
        <v>2230.86</v>
      </c>
      <c r="J130" s="180"/>
      <c r="K130" s="180"/>
      <c r="L130" s="180"/>
      <c r="M130" s="180"/>
      <c r="N130" s="180"/>
      <c r="O130" s="180"/>
    </row>
    <row r="131" spans="1:15">
      <c r="B131" s="7">
        <v>128</v>
      </c>
      <c r="C131" s="178" t="s">
        <v>186</v>
      </c>
      <c r="D131" s="179" t="s">
        <v>187</v>
      </c>
      <c r="E131" s="180">
        <v>547.41999999999996</v>
      </c>
      <c r="F131" s="180">
        <v>267.60000000000002</v>
      </c>
      <c r="G131" s="180">
        <v>471.2</v>
      </c>
      <c r="H131" s="180">
        <v>616.44000000000005</v>
      </c>
      <c r="I131" s="180">
        <v>355.29</v>
      </c>
      <c r="J131" s="180"/>
      <c r="K131" s="180"/>
      <c r="L131" s="180"/>
      <c r="M131" s="180"/>
      <c r="N131" s="180"/>
      <c r="O131" s="180"/>
    </row>
    <row r="132" spans="1:15">
      <c r="B132" s="7">
        <v>129</v>
      </c>
      <c r="C132" s="178" t="s">
        <v>188</v>
      </c>
      <c r="D132" s="179" t="s">
        <v>189</v>
      </c>
      <c r="E132" s="180">
        <v>240.39</v>
      </c>
      <c r="F132" s="180">
        <v>203.05</v>
      </c>
      <c r="G132" s="180">
        <v>243.97</v>
      </c>
      <c r="H132" s="180">
        <v>353.79</v>
      </c>
      <c r="I132" s="180">
        <v>221.92</v>
      </c>
      <c r="J132" s="180"/>
      <c r="K132" s="180"/>
      <c r="L132" s="180"/>
      <c r="M132" s="180"/>
      <c r="N132" s="180"/>
      <c r="O132" s="180"/>
    </row>
    <row r="133" spans="1:15">
      <c r="B133" s="7">
        <v>130</v>
      </c>
      <c r="C133" s="178" t="s">
        <v>190</v>
      </c>
      <c r="D133" s="179" t="s">
        <v>191</v>
      </c>
      <c r="E133" s="180">
        <v>160.78</v>
      </c>
      <c r="F133" s="180">
        <v>112</v>
      </c>
      <c r="G133" s="180">
        <v>197.23</v>
      </c>
      <c r="H133" s="180">
        <v>235.03</v>
      </c>
      <c r="I133" s="180">
        <v>145.43</v>
      </c>
      <c r="J133" s="180"/>
      <c r="K133" s="180"/>
      <c r="L133" s="180"/>
      <c r="M133" s="180"/>
      <c r="N133" s="180"/>
      <c r="O133" s="180"/>
    </row>
    <row r="134" spans="1:15">
      <c r="B134" s="7">
        <v>131</v>
      </c>
      <c r="C134" s="178" t="s">
        <v>192</v>
      </c>
      <c r="D134" s="179" t="s">
        <v>193</v>
      </c>
      <c r="E134" s="180" t="s">
        <v>154</v>
      </c>
      <c r="F134" s="180" t="s">
        <v>154</v>
      </c>
      <c r="G134" s="180" t="s">
        <v>154</v>
      </c>
      <c r="H134" s="180" t="s">
        <v>154</v>
      </c>
      <c r="I134" s="180" t="s">
        <v>154</v>
      </c>
      <c r="J134" s="180"/>
      <c r="K134" s="180"/>
      <c r="L134" s="180"/>
      <c r="M134" s="180"/>
      <c r="N134" s="180"/>
      <c r="O134" s="180"/>
    </row>
    <row r="135" spans="1:15">
      <c r="B135" s="7">
        <v>132</v>
      </c>
      <c r="C135" s="178" t="s">
        <v>194</v>
      </c>
      <c r="D135" s="179" t="s">
        <v>195</v>
      </c>
      <c r="E135" s="180">
        <v>901978.11</v>
      </c>
      <c r="F135" s="180">
        <v>588904.9</v>
      </c>
      <c r="G135" s="180">
        <v>1059540.18</v>
      </c>
      <c r="H135" s="180">
        <v>1258699.1200000001</v>
      </c>
      <c r="I135" s="180">
        <v>796531.45</v>
      </c>
      <c r="J135" s="180"/>
      <c r="K135" s="180"/>
      <c r="L135" s="180"/>
      <c r="M135" s="180"/>
      <c r="N135" s="180"/>
      <c r="O135" s="180"/>
    </row>
    <row r="136" spans="1:15">
      <c r="B136" s="7">
        <v>133</v>
      </c>
      <c r="C136" s="178" t="s">
        <v>196</v>
      </c>
      <c r="D136" s="179" t="s">
        <v>197</v>
      </c>
      <c r="E136" s="180">
        <v>414158.11</v>
      </c>
      <c r="F136" s="180">
        <v>198935.21</v>
      </c>
      <c r="G136" s="180">
        <v>392073.87</v>
      </c>
      <c r="H136" s="180">
        <v>517739.17</v>
      </c>
      <c r="I136" s="180">
        <v>274319.53999999998</v>
      </c>
      <c r="J136" s="180"/>
      <c r="K136" s="180"/>
      <c r="L136" s="180"/>
      <c r="M136" s="180"/>
      <c r="N136" s="180"/>
      <c r="O136" s="180"/>
    </row>
    <row r="137" spans="1:15">
      <c r="B137" s="7">
        <v>134</v>
      </c>
      <c r="C137" s="178" t="s">
        <v>198</v>
      </c>
      <c r="D137" s="179" t="s">
        <v>199</v>
      </c>
      <c r="E137" s="180">
        <v>159825.98000000001</v>
      </c>
      <c r="F137" s="180">
        <v>91366.69</v>
      </c>
      <c r="G137" s="180">
        <v>145858.47</v>
      </c>
      <c r="H137" s="180">
        <v>173995.04</v>
      </c>
      <c r="I137" s="180">
        <v>132692.91</v>
      </c>
      <c r="J137" s="180"/>
      <c r="K137" s="180"/>
      <c r="L137" s="180"/>
      <c r="M137" s="180"/>
      <c r="N137" s="180"/>
      <c r="O137" s="180"/>
    </row>
    <row r="138" spans="1:15">
      <c r="B138" s="7">
        <v>135</v>
      </c>
      <c r="C138" s="178" t="s">
        <v>200</v>
      </c>
      <c r="D138" s="179" t="s">
        <v>201</v>
      </c>
      <c r="E138" s="180" t="s">
        <v>154</v>
      </c>
      <c r="F138" s="180" t="s">
        <v>154</v>
      </c>
      <c r="G138" s="180" t="s">
        <v>154</v>
      </c>
      <c r="H138" s="180" t="s">
        <v>154</v>
      </c>
      <c r="I138" s="180" t="s">
        <v>154</v>
      </c>
      <c r="J138" s="180"/>
      <c r="K138" s="180"/>
      <c r="L138" s="180"/>
      <c r="M138" s="180"/>
      <c r="N138" s="180"/>
      <c r="O138" s="180"/>
    </row>
    <row r="139" spans="1:15">
      <c r="B139" s="7">
        <v>136</v>
      </c>
      <c r="C139" s="178" t="s">
        <v>202</v>
      </c>
      <c r="D139" s="179" t="s">
        <v>203</v>
      </c>
      <c r="E139" s="180" t="s">
        <v>154</v>
      </c>
      <c r="F139" s="180" t="s">
        <v>154</v>
      </c>
      <c r="G139" s="180" t="s">
        <v>154</v>
      </c>
      <c r="H139" s="180" t="s">
        <v>154</v>
      </c>
      <c r="I139" s="180" t="s">
        <v>154</v>
      </c>
      <c r="J139" s="180"/>
      <c r="K139" s="180"/>
      <c r="L139" s="180"/>
      <c r="M139" s="180"/>
      <c r="N139" s="180"/>
      <c r="O139" s="180"/>
    </row>
    <row r="140" spans="1:15">
      <c r="B140" s="7">
        <v>137</v>
      </c>
      <c r="C140" s="178" t="s">
        <v>204</v>
      </c>
      <c r="D140" s="179" t="s">
        <v>205</v>
      </c>
      <c r="E140" s="180">
        <v>2513.69</v>
      </c>
      <c r="F140" s="180">
        <v>1380.7</v>
      </c>
      <c r="G140" s="180">
        <v>1860.85</v>
      </c>
      <c r="H140" s="180">
        <v>3279.05</v>
      </c>
      <c r="I140" s="180">
        <v>1936.27</v>
      </c>
      <c r="J140" s="180"/>
      <c r="K140" s="180"/>
      <c r="L140" s="180"/>
      <c r="M140" s="180"/>
      <c r="N140" s="180"/>
      <c r="O140" s="180"/>
    </row>
    <row r="141" spans="1:15">
      <c r="B141" s="7">
        <v>138</v>
      </c>
      <c r="C141" s="178" t="s">
        <v>206</v>
      </c>
      <c r="D141" s="179" t="s">
        <v>207</v>
      </c>
      <c r="E141" s="180" t="s">
        <v>154</v>
      </c>
      <c r="F141" s="180" t="s">
        <v>154</v>
      </c>
      <c r="G141" s="180" t="s">
        <v>154</v>
      </c>
      <c r="H141" s="180" t="s">
        <v>154</v>
      </c>
      <c r="I141" s="180" t="s">
        <v>154</v>
      </c>
      <c r="J141" s="180"/>
      <c r="K141" s="180"/>
      <c r="L141" s="180"/>
      <c r="M141" s="180"/>
      <c r="N141" s="180"/>
      <c r="O141" s="180"/>
    </row>
    <row r="142" spans="1:15" ht="22.8">
      <c r="B142" s="7">
        <v>139</v>
      </c>
      <c r="C142" s="178" t="s">
        <v>208</v>
      </c>
      <c r="D142" s="179" t="s">
        <v>209</v>
      </c>
      <c r="E142" s="180" t="s">
        <v>154</v>
      </c>
      <c r="F142" s="180" t="s">
        <v>154</v>
      </c>
      <c r="G142" s="180" t="s">
        <v>154</v>
      </c>
      <c r="H142" s="180" t="s">
        <v>154</v>
      </c>
      <c r="I142" s="180" t="s">
        <v>154</v>
      </c>
      <c r="J142" s="180"/>
      <c r="K142" s="180"/>
      <c r="L142" s="180"/>
      <c r="M142" s="180"/>
      <c r="N142" s="180"/>
      <c r="O142" s="180"/>
    </row>
    <row r="143" spans="1:15" ht="22.8">
      <c r="B143" s="7">
        <v>140</v>
      </c>
      <c r="C143" s="178" t="s">
        <v>210</v>
      </c>
      <c r="D143" s="179" t="s">
        <v>211</v>
      </c>
      <c r="E143" s="180">
        <v>3275.71</v>
      </c>
      <c r="F143" s="180">
        <v>1665.29</v>
      </c>
      <c r="G143" s="180">
        <v>3564.57</v>
      </c>
      <c r="H143" s="180">
        <v>4946.76</v>
      </c>
      <c r="I143" s="180">
        <v>2953.5</v>
      </c>
      <c r="J143" s="180"/>
      <c r="K143" s="180"/>
      <c r="L143" s="180"/>
      <c r="M143" s="180"/>
      <c r="N143" s="180"/>
      <c r="O143" s="180"/>
    </row>
    <row r="144" spans="1:15">
      <c r="A144" s="151"/>
      <c r="B144" s="7">
        <v>141</v>
      </c>
      <c r="C144" s="152"/>
      <c r="D144" s="151"/>
      <c r="E144" s="151"/>
      <c r="F144" s="153"/>
      <c r="G144" s="153"/>
      <c r="H144" s="153"/>
      <c r="I144" s="153"/>
      <c r="J144" s="153"/>
      <c r="K144" s="153"/>
      <c r="L144" s="153"/>
      <c r="M144" s="153"/>
      <c r="N144" s="153"/>
      <c r="O144" s="153"/>
    </row>
    <row r="145" spans="1:17">
      <c r="A145" s="151"/>
      <c r="B145" s="7">
        <v>142</v>
      </c>
      <c r="C145" s="152"/>
      <c r="D145" s="151"/>
      <c r="E145" s="151"/>
      <c r="F145" s="153"/>
      <c r="G145" s="153"/>
      <c r="H145" s="153"/>
      <c r="I145" s="153"/>
      <c r="J145" s="153"/>
      <c r="K145" s="153"/>
      <c r="L145" s="153"/>
      <c r="M145" s="153"/>
      <c r="N145" s="153"/>
      <c r="O145" s="153"/>
    </row>
    <row r="146" spans="1:17">
      <c r="B146" s="7">
        <v>143</v>
      </c>
    </row>
    <row r="147" spans="1:17">
      <c r="B147" s="7">
        <v>144</v>
      </c>
    </row>
    <row r="148" spans="1:17">
      <c r="B148" s="7">
        <v>145</v>
      </c>
      <c r="F148" s="3"/>
      <c r="G148" s="3"/>
      <c r="H148" s="3"/>
      <c r="I148" s="3"/>
      <c r="J148" s="3"/>
      <c r="K148" s="3"/>
    </row>
    <row r="149" spans="1:17" ht="22.8">
      <c r="B149" s="7">
        <v>146</v>
      </c>
      <c r="E149" s="178" t="s">
        <v>286</v>
      </c>
      <c r="F149" s="178" t="s">
        <v>287</v>
      </c>
      <c r="G149" s="178" t="s">
        <v>288</v>
      </c>
      <c r="H149" s="178" t="s">
        <v>289</v>
      </c>
      <c r="I149" s="178" t="s">
        <v>290</v>
      </c>
      <c r="L149" s="4"/>
      <c r="M149" s="4"/>
      <c r="N149" s="4"/>
      <c r="O149" s="4"/>
      <c r="Q149" s="222"/>
    </row>
    <row r="150" spans="1:17">
      <c r="B150" s="7">
        <v>147</v>
      </c>
      <c r="C150" s="3"/>
      <c r="D150" s="155" t="s">
        <v>174</v>
      </c>
      <c r="E150" s="178" t="s">
        <v>176</v>
      </c>
      <c r="F150" s="178" t="s">
        <v>176</v>
      </c>
      <c r="G150" s="178" t="s">
        <v>176</v>
      </c>
      <c r="H150" s="178" t="s">
        <v>176</v>
      </c>
      <c r="I150" s="178" t="s">
        <v>176</v>
      </c>
      <c r="J150" s="154"/>
      <c r="K150" s="154"/>
      <c r="L150" s="154"/>
      <c r="M150" s="154"/>
      <c r="N150" s="154"/>
      <c r="O150" s="154"/>
      <c r="Q150" s="222"/>
    </row>
    <row r="151" spans="1:17">
      <c r="B151" s="7">
        <v>148</v>
      </c>
      <c r="C151" s="3"/>
      <c r="D151" s="155" t="s">
        <v>175</v>
      </c>
      <c r="E151" s="178" t="s">
        <v>291</v>
      </c>
      <c r="F151" s="178" t="s">
        <v>291</v>
      </c>
      <c r="G151" s="178" t="s">
        <v>291</v>
      </c>
      <c r="H151" s="178" t="s">
        <v>291</v>
      </c>
      <c r="I151" s="178" t="s">
        <v>291</v>
      </c>
      <c r="J151" s="154"/>
      <c r="K151" s="154"/>
      <c r="L151" s="154"/>
      <c r="M151" s="154"/>
      <c r="N151" s="154"/>
      <c r="O151" s="154"/>
      <c r="Q151" s="222"/>
    </row>
    <row r="152" spans="1:17">
      <c r="B152" s="7">
        <v>149</v>
      </c>
      <c r="L152" s="4"/>
      <c r="M152" s="4"/>
      <c r="N152" s="4"/>
      <c r="O152" s="4"/>
      <c r="Q152" s="222"/>
    </row>
    <row r="153" spans="1:17" ht="12">
      <c r="B153" s="7">
        <v>150</v>
      </c>
      <c r="C153" s="172"/>
      <c r="D153" s="173" t="s">
        <v>155</v>
      </c>
      <c r="E153" s="174">
        <v>3660700.9772999999</v>
      </c>
      <c r="F153" s="174">
        <v>2548691.3199999998</v>
      </c>
      <c r="G153" s="174">
        <v>4242696.38</v>
      </c>
      <c r="H153" s="174">
        <v>5907925.79</v>
      </c>
      <c r="I153" s="174">
        <v>3837035.38</v>
      </c>
      <c r="J153" s="174"/>
      <c r="K153" s="174"/>
      <c r="L153" s="174"/>
      <c r="M153" s="174"/>
      <c r="N153" s="174"/>
      <c r="O153" s="174"/>
      <c r="Q153" s="222"/>
    </row>
    <row r="154" spans="1:17" ht="12">
      <c r="B154" s="7">
        <v>151</v>
      </c>
      <c r="C154" s="175"/>
      <c r="D154" s="176" t="s">
        <v>30</v>
      </c>
      <c r="E154" s="177">
        <v>1153002.1425000001</v>
      </c>
      <c r="F154" s="177">
        <v>750872.99</v>
      </c>
      <c r="G154" s="177">
        <v>1136965.74</v>
      </c>
      <c r="H154" s="177">
        <v>1737776.93</v>
      </c>
      <c r="I154" s="177">
        <v>1071648.0900000001</v>
      </c>
      <c r="J154" s="177"/>
      <c r="K154" s="177"/>
      <c r="L154" s="177"/>
      <c r="M154" s="177"/>
      <c r="N154" s="177"/>
      <c r="O154" s="177"/>
      <c r="Q154" s="222"/>
    </row>
    <row r="155" spans="1:17">
      <c r="B155" s="7">
        <v>152</v>
      </c>
      <c r="C155" s="178"/>
      <c r="D155" s="179" t="s">
        <v>31</v>
      </c>
      <c r="E155" s="180">
        <v>1464.6384000000003</v>
      </c>
      <c r="F155" s="180">
        <v>787.1</v>
      </c>
      <c r="G155" s="180">
        <v>1587.96</v>
      </c>
      <c r="H155" s="180">
        <v>1505.87</v>
      </c>
      <c r="I155" s="180">
        <v>1139.53</v>
      </c>
      <c r="J155" s="180"/>
      <c r="K155" s="180"/>
      <c r="L155" s="180"/>
      <c r="M155" s="180"/>
      <c r="N155" s="180"/>
      <c r="O155" s="180"/>
      <c r="Q155" s="222"/>
    </row>
    <row r="156" spans="1:17">
      <c r="B156" s="7">
        <v>153</v>
      </c>
      <c r="C156" s="178"/>
      <c r="D156" s="179" t="s">
        <v>130</v>
      </c>
      <c r="E156" s="180">
        <v>800454.74920000008</v>
      </c>
      <c r="F156" s="180">
        <v>486617.52</v>
      </c>
      <c r="G156" s="180">
        <v>688022.67</v>
      </c>
      <c r="H156" s="180">
        <v>1181004.6499999999</v>
      </c>
      <c r="I156" s="180">
        <v>748633.81</v>
      </c>
      <c r="J156" s="180"/>
      <c r="K156" s="180"/>
      <c r="L156" s="180"/>
      <c r="M156" s="180"/>
      <c r="N156" s="180"/>
      <c r="O156" s="180"/>
      <c r="Q156" s="222"/>
    </row>
    <row r="157" spans="1:17">
      <c r="B157" s="7">
        <v>154</v>
      </c>
      <c r="C157" s="178"/>
      <c r="D157" s="179" t="s">
        <v>32</v>
      </c>
      <c r="E157" s="180">
        <v>161784.47999999998</v>
      </c>
      <c r="F157" s="180">
        <v>95313.19</v>
      </c>
      <c r="G157" s="180">
        <v>188492.52</v>
      </c>
      <c r="H157" s="180">
        <v>244142.68</v>
      </c>
      <c r="I157" s="180">
        <v>126711.67999999999</v>
      </c>
      <c r="J157" s="180"/>
      <c r="K157" s="180"/>
      <c r="L157" s="180"/>
      <c r="M157" s="180"/>
      <c r="N157" s="180"/>
      <c r="O157" s="180"/>
      <c r="Q157" s="222"/>
    </row>
    <row r="158" spans="1:17">
      <c r="B158" s="7">
        <v>155</v>
      </c>
      <c r="C158" s="178"/>
      <c r="D158" s="179" t="s">
        <v>131</v>
      </c>
      <c r="E158" s="180">
        <v>189645.99199999997</v>
      </c>
      <c r="F158" s="180">
        <v>168155.18</v>
      </c>
      <c r="G158" s="180">
        <v>258862.59</v>
      </c>
      <c r="H158" s="180">
        <v>311123.73</v>
      </c>
      <c r="I158" s="180">
        <v>195163.07</v>
      </c>
      <c r="J158" s="180"/>
      <c r="K158" s="180"/>
      <c r="L158" s="180"/>
      <c r="M158" s="180"/>
      <c r="N158" s="180"/>
      <c r="O158" s="180"/>
      <c r="Q158" s="222"/>
    </row>
    <row r="159" spans="1:17" ht="12">
      <c r="B159" s="7">
        <v>156</v>
      </c>
      <c r="C159" s="175"/>
      <c r="D159" s="176" t="s">
        <v>132</v>
      </c>
      <c r="E159" s="177">
        <v>0</v>
      </c>
      <c r="F159" s="177">
        <v>0</v>
      </c>
      <c r="G159" s="177">
        <v>0</v>
      </c>
      <c r="H159" s="177">
        <v>0</v>
      </c>
      <c r="I159" s="177">
        <v>0</v>
      </c>
      <c r="J159" s="177"/>
      <c r="K159" s="177"/>
      <c r="L159" s="177"/>
      <c r="M159" s="177"/>
      <c r="N159" s="177"/>
      <c r="O159" s="177"/>
    </row>
    <row r="160" spans="1:17">
      <c r="B160" s="7">
        <v>157</v>
      </c>
      <c r="C160" s="178"/>
      <c r="D160" s="179" t="s">
        <v>133</v>
      </c>
      <c r="E160" s="180">
        <v>0</v>
      </c>
      <c r="F160" s="180">
        <v>0</v>
      </c>
      <c r="G160" s="180">
        <v>0</v>
      </c>
      <c r="H160" s="180">
        <v>0</v>
      </c>
      <c r="I160" s="180">
        <v>0</v>
      </c>
      <c r="J160" s="180"/>
      <c r="K160" s="180"/>
      <c r="L160" s="180"/>
      <c r="M160" s="180"/>
      <c r="N160" s="180"/>
      <c r="O160" s="180"/>
    </row>
    <row r="161" spans="2:15">
      <c r="B161" s="7">
        <v>158</v>
      </c>
      <c r="C161" s="178"/>
      <c r="D161" s="179" t="s">
        <v>134</v>
      </c>
      <c r="E161" s="180">
        <v>0</v>
      </c>
      <c r="F161" s="180">
        <v>0</v>
      </c>
      <c r="G161" s="180">
        <v>0</v>
      </c>
      <c r="H161" s="180">
        <v>0</v>
      </c>
      <c r="I161" s="180">
        <v>0</v>
      </c>
      <c r="J161" s="180"/>
      <c r="K161" s="180"/>
      <c r="L161" s="180"/>
      <c r="M161" s="180"/>
      <c r="N161" s="180"/>
      <c r="O161" s="180"/>
    </row>
    <row r="162" spans="2:15" ht="12">
      <c r="B162" s="7">
        <v>159</v>
      </c>
      <c r="C162" s="175"/>
      <c r="D162" s="176" t="s">
        <v>33</v>
      </c>
      <c r="E162" s="177">
        <v>2507698.8347999998</v>
      </c>
      <c r="F162" s="177">
        <v>1797818.33</v>
      </c>
      <c r="G162" s="177">
        <v>3105730.64</v>
      </c>
      <c r="H162" s="177">
        <v>4170148.86</v>
      </c>
      <c r="I162" s="177">
        <v>2765387.29</v>
      </c>
      <c r="J162" s="177"/>
      <c r="K162" s="177"/>
      <c r="L162" s="177"/>
      <c r="M162" s="177"/>
      <c r="N162" s="177"/>
      <c r="O162" s="177"/>
    </row>
    <row r="163" spans="2:15">
      <c r="B163" s="7">
        <v>160</v>
      </c>
      <c r="C163" s="178"/>
      <c r="D163" s="179" t="s">
        <v>34</v>
      </c>
      <c r="E163" s="180">
        <v>4333.1461999999992</v>
      </c>
      <c r="F163" s="180">
        <v>2525.66</v>
      </c>
      <c r="G163" s="180">
        <v>4146.62</v>
      </c>
      <c r="H163" s="180">
        <v>6957.68</v>
      </c>
      <c r="I163" s="180">
        <v>3435.76</v>
      </c>
      <c r="J163" s="180"/>
      <c r="K163" s="180"/>
      <c r="L163" s="180"/>
      <c r="M163" s="180"/>
      <c r="N163" s="180"/>
      <c r="O163" s="180"/>
    </row>
    <row r="164" spans="2:15">
      <c r="B164" s="7">
        <v>161</v>
      </c>
      <c r="C164" s="178"/>
      <c r="D164" s="179" t="s">
        <v>35</v>
      </c>
      <c r="E164" s="180">
        <v>699297.42249999999</v>
      </c>
      <c r="F164" s="180">
        <v>691386.03</v>
      </c>
      <c r="G164" s="180">
        <v>993222.5</v>
      </c>
      <c r="H164" s="180">
        <v>970692.26</v>
      </c>
      <c r="I164" s="180">
        <v>770585.86</v>
      </c>
      <c r="J164" s="180"/>
      <c r="K164" s="180"/>
      <c r="L164" s="180"/>
      <c r="M164" s="180"/>
      <c r="N164" s="180"/>
      <c r="O164" s="180"/>
    </row>
    <row r="165" spans="2:15">
      <c r="B165" s="7">
        <v>162</v>
      </c>
      <c r="C165" s="178"/>
      <c r="D165" s="179" t="s">
        <v>36</v>
      </c>
      <c r="E165" s="180">
        <v>12614.3408</v>
      </c>
      <c r="F165" s="180">
        <v>8138.38</v>
      </c>
      <c r="G165" s="180">
        <v>14155.73</v>
      </c>
      <c r="H165" s="180">
        <v>18879.650000000001</v>
      </c>
      <c r="I165" s="180">
        <v>13238.71</v>
      </c>
      <c r="J165" s="180"/>
      <c r="K165" s="180"/>
      <c r="L165" s="180"/>
      <c r="M165" s="180"/>
      <c r="N165" s="180"/>
      <c r="O165" s="180"/>
    </row>
    <row r="166" spans="2:15">
      <c r="B166" s="7">
        <v>163</v>
      </c>
      <c r="C166" s="178"/>
      <c r="D166" s="179" t="s">
        <v>37</v>
      </c>
      <c r="E166" s="180">
        <v>1786664.6928000001</v>
      </c>
      <c r="F166" s="180">
        <v>1095768.26</v>
      </c>
      <c r="G166" s="180">
        <v>2094205.79</v>
      </c>
      <c r="H166" s="180">
        <v>3173619.27</v>
      </c>
      <c r="I166" s="180">
        <v>1978126.96</v>
      </c>
      <c r="J166" s="180"/>
      <c r="K166" s="180"/>
      <c r="L166" s="180"/>
      <c r="M166" s="180"/>
      <c r="N166" s="180"/>
      <c r="O166" s="180"/>
    </row>
    <row r="167" spans="2:15" ht="12">
      <c r="B167" s="7">
        <v>164</v>
      </c>
      <c r="C167" s="175"/>
      <c r="D167" s="176" t="s">
        <v>135</v>
      </c>
      <c r="E167" s="177">
        <v>0</v>
      </c>
      <c r="F167" s="177">
        <v>0</v>
      </c>
      <c r="G167" s="177">
        <v>0</v>
      </c>
      <c r="H167" s="177">
        <v>0</v>
      </c>
      <c r="I167" s="177">
        <v>0</v>
      </c>
      <c r="J167" s="177"/>
      <c r="K167" s="177"/>
      <c r="L167" s="177"/>
      <c r="M167" s="177"/>
      <c r="N167" s="177"/>
      <c r="O167" s="177"/>
    </row>
    <row r="168" spans="2:15">
      <c r="B168" s="7">
        <v>165</v>
      </c>
      <c r="C168" s="178"/>
      <c r="D168" s="179" t="s">
        <v>243</v>
      </c>
      <c r="E168" s="180">
        <v>0</v>
      </c>
      <c r="F168" s="180">
        <v>0</v>
      </c>
      <c r="G168" s="180">
        <v>0</v>
      </c>
      <c r="H168" s="180">
        <v>0</v>
      </c>
      <c r="I168" s="180">
        <v>0</v>
      </c>
      <c r="J168" s="180"/>
      <c r="K168" s="180"/>
      <c r="L168" s="180"/>
      <c r="M168" s="180"/>
      <c r="N168" s="180"/>
      <c r="O168" s="180"/>
    </row>
    <row r="169" spans="2:15">
      <c r="B169" s="7">
        <v>166</v>
      </c>
      <c r="C169" s="178"/>
      <c r="D169" s="179" t="s">
        <v>136</v>
      </c>
      <c r="E169" s="180">
        <v>0</v>
      </c>
      <c r="F169" s="180">
        <v>0</v>
      </c>
      <c r="G169" s="180">
        <v>0</v>
      </c>
      <c r="H169" s="180">
        <v>0</v>
      </c>
      <c r="I169" s="180">
        <v>0</v>
      </c>
      <c r="J169" s="180"/>
      <c r="K169" s="180"/>
      <c r="L169" s="180"/>
      <c r="M169" s="180"/>
      <c r="N169" s="180"/>
      <c r="O169" s="180"/>
    </row>
    <row r="170" spans="2:15" ht="12">
      <c r="B170" s="7">
        <v>167</v>
      </c>
      <c r="C170" s="172"/>
      <c r="D170" s="173" t="s">
        <v>38</v>
      </c>
      <c r="E170" s="174">
        <v>1160911.8855000001</v>
      </c>
      <c r="F170" s="174">
        <v>782168.03</v>
      </c>
      <c r="G170" s="174">
        <v>1411573.06</v>
      </c>
      <c r="H170" s="174">
        <v>1716320.46</v>
      </c>
      <c r="I170" s="174">
        <v>1061212.52</v>
      </c>
      <c r="J170" s="174"/>
      <c r="K170" s="174"/>
      <c r="L170" s="174"/>
      <c r="M170" s="174"/>
      <c r="N170" s="174"/>
      <c r="O170" s="174"/>
    </row>
    <row r="171" spans="2:15" ht="12">
      <c r="B171" s="7">
        <v>168</v>
      </c>
      <c r="C171" s="172"/>
      <c r="D171" s="173" t="s">
        <v>156</v>
      </c>
      <c r="E171" s="174">
        <v>115238.93909999999</v>
      </c>
      <c r="F171" s="174">
        <v>65033.22</v>
      </c>
      <c r="G171" s="174">
        <v>87342.18</v>
      </c>
      <c r="H171" s="174">
        <v>152540.70000000001</v>
      </c>
      <c r="I171" s="174">
        <v>80471.78</v>
      </c>
      <c r="J171" s="174"/>
      <c r="K171" s="174"/>
      <c r="L171" s="174"/>
      <c r="M171" s="174"/>
      <c r="N171" s="174"/>
      <c r="O171" s="174"/>
    </row>
    <row r="172" spans="2:15" ht="24">
      <c r="B172" s="7">
        <v>169</v>
      </c>
      <c r="C172" s="172"/>
      <c r="D172" s="173" t="s">
        <v>39</v>
      </c>
      <c r="E172" s="174">
        <v>415708.92120000004</v>
      </c>
      <c r="F172" s="174">
        <v>218922.01</v>
      </c>
      <c r="G172" s="174">
        <v>423371.42</v>
      </c>
      <c r="H172" s="174">
        <v>560201.15</v>
      </c>
      <c r="I172" s="174">
        <v>306321.64</v>
      </c>
      <c r="J172" s="174"/>
      <c r="K172" s="174"/>
      <c r="L172" s="174"/>
      <c r="M172" s="174"/>
      <c r="N172" s="174"/>
      <c r="O172" s="174"/>
    </row>
    <row r="173" spans="2:15" ht="12">
      <c r="B173" s="7">
        <v>170</v>
      </c>
      <c r="C173" s="181" t="s">
        <v>158</v>
      </c>
      <c r="D173" s="182" t="s">
        <v>157</v>
      </c>
      <c r="E173" s="183">
        <v>5290305.2836000007</v>
      </c>
      <c r="F173" s="183">
        <v>3614814.58</v>
      </c>
      <c r="G173" s="183">
        <v>6164983.04</v>
      </c>
      <c r="H173" s="183">
        <v>8336988.0999999996</v>
      </c>
      <c r="I173" s="183">
        <v>5285041.32</v>
      </c>
      <c r="J173" s="183"/>
      <c r="K173" s="183"/>
      <c r="L173" s="183"/>
      <c r="M173" s="183"/>
      <c r="N173" s="183"/>
      <c r="O173" s="183"/>
    </row>
    <row r="174" spans="2:15">
      <c r="B174" s="7">
        <v>171</v>
      </c>
      <c r="C174" s="178"/>
      <c r="D174" s="179" t="s">
        <v>137</v>
      </c>
      <c r="E174" s="180">
        <v>1.0212000000000001</v>
      </c>
      <c r="F174" s="180">
        <v>0.71</v>
      </c>
      <c r="G174" s="180">
        <v>0.92</v>
      </c>
      <c r="H174" s="180">
        <v>1.62</v>
      </c>
      <c r="I174" s="180">
        <v>0.76</v>
      </c>
      <c r="J174" s="180"/>
      <c r="K174" s="180"/>
      <c r="L174" s="180"/>
      <c r="M174" s="180"/>
      <c r="N174" s="180"/>
      <c r="O174" s="180"/>
    </row>
    <row r="175" spans="2:15">
      <c r="B175" s="7">
        <v>172</v>
      </c>
      <c r="C175" s="178"/>
      <c r="D175" s="179" t="s">
        <v>138</v>
      </c>
      <c r="E175" s="180">
        <v>190.91840000000002</v>
      </c>
      <c r="F175" s="180">
        <v>178.48</v>
      </c>
      <c r="G175" s="180">
        <v>292.42</v>
      </c>
      <c r="H175" s="180">
        <v>339.23</v>
      </c>
      <c r="I175" s="180">
        <v>174.87</v>
      </c>
      <c r="J175" s="180"/>
      <c r="K175" s="180"/>
      <c r="L175" s="180"/>
      <c r="M175" s="180"/>
      <c r="N175" s="180"/>
      <c r="O175" s="180"/>
    </row>
    <row r="176" spans="2:15">
      <c r="B176" s="7">
        <v>173</v>
      </c>
      <c r="C176" s="178"/>
      <c r="D176" s="179" t="s">
        <v>139</v>
      </c>
      <c r="E176" s="180">
        <v>10.7912</v>
      </c>
      <c r="F176" s="180">
        <v>9.7899999999999991</v>
      </c>
      <c r="G176" s="180">
        <v>10.86</v>
      </c>
      <c r="H176" s="180">
        <v>15.82</v>
      </c>
      <c r="I176" s="180">
        <v>10.35</v>
      </c>
      <c r="J176" s="180"/>
      <c r="K176" s="180"/>
      <c r="L176" s="180"/>
      <c r="M176" s="180"/>
      <c r="N176" s="180"/>
      <c r="O176" s="180"/>
    </row>
    <row r="177" spans="2:15">
      <c r="B177" s="7">
        <v>174</v>
      </c>
      <c r="C177" s="178"/>
      <c r="D177" s="179" t="s">
        <v>140</v>
      </c>
      <c r="E177" s="180">
        <v>0</v>
      </c>
      <c r="F177" s="180">
        <v>0</v>
      </c>
      <c r="G177" s="180">
        <v>0</v>
      </c>
      <c r="H177" s="180">
        <v>0</v>
      </c>
      <c r="I177" s="180">
        <v>0</v>
      </c>
      <c r="J177" s="180"/>
      <c r="K177" s="180"/>
      <c r="L177" s="180"/>
      <c r="M177" s="180"/>
      <c r="N177" s="180"/>
      <c r="O177" s="180"/>
    </row>
    <row r="178" spans="2:15" ht="12">
      <c r="B178" s="7">
        <v>175</v>
      </c>
      <c r="C178" s="181"/>
      <c r="D178" s="182" t="s">
        <v>141</v>
      </c>
      <c r="E178" s="183">
        <v>36289.538</v>
      </c>
      <c r="F178" s="183">
        <v>19016.11</v>
      </c>
      <c r="G178" s="183">
        <v>35917.1</v>
      </c>
      <c r="H178" s="183">
        <v>42830.45</v>
      </c>
      <c r="I178" s="183">
        <v>32174.19</v>
      </c>
      <c r="J178" s="183"/>
      <c r="K178" s="183"/>
      <c r="L178" s="183"/>
      <c r="M178" s="183"/>
      <c r="N178" s="183"/>
      <c r="O178" s="183"/>
    </row>
    <row r="179" spans="2:15">
      <c r="B179" s="7">
        <v>176</v>
      </c>
      <c r="C179" s="178"/>
      <c r="D179" s="179" t="s">
        <v>142</v>
      </c>
      <c r="E179" s="180">
        <v>0</v>
      </c>
      <c r="F179" s="180">
        <v>0</v>
      </c>
      <c r="G179" s="180">
        <v>0</v>
      </c>
      <c r="H179" s="180">
        <v>0</v>
      </c>
      <c r="I179" s="180">
        <v>0</v>
      </c>
      <c r="J179" s="180"/>
      <c r="K179" s="180"/>
      <c r="L179" s="180"/>
      <c r="M179" s="180"/>
      <c r="N179" s="180"/>
      <c r="O179" s="180"/>
    </row>
    <row r="180" spans="2:15">
      <c r="B180" s="7">
        <v>177</v>
      </c>
      <c r="C180" s="178"/>
      <c r="D180" s="179" t="s">
        <v>143</v>
      </c>
      <c r="E180" s="180">
        <v>9542.0543999999991</v>
      </c>
      <c r="F180" s="180">
        <v>6117.42</v>
      </c>
      <c r="G180" s="180">
        <v>9339.14</v>
      </c>
      <c r="H180" s="180">
        <v>12040.9</v>
      </c>
      <c r="I180" s="180">
        <v>7231.85</v>
      </c>
      <c r="J180" s="180"/>
      <c r="K180" s="180"/>
      <c r="L180" s="180"/>
      <c r="M180" s="180"/>
      <c r="N180" s="180"/>
      <c r="O180" s="180"/>
    </row>
    <row r="181" spans="2:15">
      <c r="B181" s="7">
        <v>178</v>
      </c>
      <c r="C181" s="178"/>
      <c r="D181" s="179" t="s">
        <v>144</v>
      </c>
      <c r="E181" s="180">
        <v>0</v>
      </c>
      <c r="F181" s="180">
        <v>0</v>
      </c>
      <c r="G181" s="180">
        <v>0</v>
      </c>
      <c r="H181" s="180">
        <v>0</v>
      </c>
      <c r="I181" s="180">
        <v>0</v>
      </c>
      <c r="J181" s="180"/>
      <c r="K181" s="180"/>
      <c r="L181" s="180"/>
      <c r="M181" s="180"/>
      <c r="N181" s="180"/>
      <c r="O181" s="180"/>
    </row>
    <row r="182" spans="2:15">
      <c r="B182" s="7">
        <v>179</v>
      </c>
      <c r="C182" s="178"/>
      <c r="D182" s="179" t="s">
        <v>145</v>
      </c>
      <c r="E182" s="180">
        <v>0</v>
      </c>
      <c r="F182" s="180">
        <v>0</v>
      </c>
      <c r="G182" s="180">
        <v>0</v>
      </c>
      <c r="H182" s="180">
        <v>0</v>
      </c>
      <c r="I182" s="180">
        <v>0</v>
      </c>
      <c r="J182" s="180"/>
      <c r="K182" s="180"/>
      <c r="L182" s="180"/>
      <c r="M182" s="180"/>
      <c r="N182" s="180"/>
      <c r="O182" s="180"/>
    </row>
    <row r="183" spans="2:15">
      <c r="B183" s="7">
        <v>180</v>
      </c>
      <c r="C183" s="178"/>
      <c r="D183" s="179" t="s">
        <v>146</v>
      </c>
      <c r="E183" s="180">
        <v>0</v>
      </c>
      <c r="F183" s="180">
        <v>0</v>
      </c>
      <c r="G183" s="180">
        <v>0</v>
      </c>
      <c r="H183" s="180">
        <v>0</v>
      </c>
      <c r="I183" s="180">
        <v>0</v>
      </c>
      <c r="J183" s="180"/>
      <c r="K183" s="180"/>
      <c r="L183" s="180"/>
      <c r="M183" s="180"/>
      <c r="N183" s="180"/>
      <c r="O183" s="180"/>
    </row>
    <row r="184" spans="2:15">
      <c r="B184" s="7">
        <v>181</v>
      </c>
      <c r="C184" s="178"/>
      <c r="D184" s="179" t="s">
        <v>147</v>
      </c>
      <c r="E184" s="180">
        <v>4910.8966</v>
      </c>
      <c r="F184" s="180">
        <v>2629.59</v>
      </c>
      <c r="G184" s="180">
        <v>4548.83</v>
      </c>
      <c r="H184" s="180">
        <v>6073.33</v>
      </c>
      <c r="I184" s="180">
        <v>4144.32</v>
      </c>
      <c r="J184" s="180"/>
      <c r="K184" s="180"/>
      <c r="L184" s="180"/>
      <c r="M184" s="180"/>
      <c r="N184" s="180"/>
      <c r="O184" s="180"/>
    </row>
    <row r="185" spans="2:15" ht="12">
      <c r="B185" s="7">
        <v>182</v>
      </c>
      <c r="C185" s="181"/>
      <c r="D185" s="182" t="s">
        <v>40</v>
      </c>
      <c r="E185" s="183">
        <v>52814.142899999999</v>
      </c>
      <c r="F185" s="183">
        <v>27763.119999999999</v>
      </c>
      <c r="G185" s="183">
        <v>49805.07</v>
      </c>
      <c r="H185" s="183">
        <v>60944.68</v>
      </c>
      <c r="I185" s="183">
        <v>43550.36</v>
      </c>
      <c r="J185" s="183"/>
      <c r="K185" s="183"/>
      <c r="L185" s="183"/>
      <c r="M185" s="183"/>
      <c r="N185" s="183"/>
      <c r="O185" s="183"/>
    </row>
    <row r="186" spans="2:15" ht="12">
      <c r="B186" s="7">
        <v>183</v>
      </c>
      <c r="C186" s="181" t="s">
        <v>153</v>
      </c>
      <c r="D186" s="182" t="s">
        <v>41</v>
      </c>
      <c r="E186" s="183">
        <v>5240213.5192</v>
      </c>
      <c r="F186" s="183">
        <v>3587051.46</v>
      </c>
      <c r="G186" s="183">
        <v>6115177.9699999997</v>
      </c>
      <c r="H186" s="183">
        <v>8276043.4199999999</v>
      </c>
      <c r="I186" s="183">
        <v>5241490.96</v>
      </c>
      <c r="J186" s="183"/>
      <c r="K186" s="183"/>
      <c r="L186" s="183"/>
      <c r="M186" s="183"/>
      <c r="N186" s="183"/>
      <c r="O186" s="183"/>
    </row>
    <row r="187" spans="2:15">
      <c r="B187" s="7">
        <v>184</v>
      </c>
      <c r="C187" s="178"/>
      <c r="D187" s="179" t="s">
        <v>42</v>
      </c>
      <c r="E187" s="180">
        <v>0</v>
      </c>
      <c r="F187" s="180">
        <v>61507</v>
      </c>
      <c r="G187" s="180">
        <v>0</v>
      </c>
      <c r="H187" s="180">
        <v>3905</v>
      </c>
      <c r="I187" s="180">
        <v>0</v>
      </c>
      <c r="J187" s="180"/>
      <c r="K187" s="180"/>
      <c r="L187" s="180"/>
      <c r="M187" s="180"/>
      <c r="N187" s="180"/>
      <c r="O187" s="180"/>
    </row>
    <row r="188" spans="2:15" ht="24">
      <c r="B188" s="7">
        <v>185</v>
      </c>
      <c r="C188" s="181" t="s">
        <v>159</v>
      </c>
      <c r="D188" s="182" t="s">
        <v>148</v>
      </c>
      <c r="E188" s="183">
        <v>5525007.7321999995</v>
      </c>
      <c r="F188" s="183">
        <v>3525544.46</v>
      </c>
      <c r="G188" s="183">
        <v>6115177.9699999997</v>
      </c>
      <c r="H188" s="183">
        <v>8272138.4199999999</v>
      </c>
      <c r="I188" s="183">
        <v>5241490.96</v>
      </c>
      <c r="J188" s="183"/>
      <c r="K188" s="183"/>
      <c r="L188" s="183"/>
      <c r="M188" s="183"/>
      <c r="N188" s="183"/>
      <c r="O188" s="183"/>
    </row>
    <row r="189" spans="2:15">
      <c r="B189" s="7">
        <v>186</v>
      </c>
      <c r="C189" s="184" t="s">
        <v>160</v>
      </c>
      <c r="D189" s="185" t="s">
        <v>149</v>
      </c>
      <c r="E189" s="186">
        <v>52509.806673635299</v>
      </c>
      <c r="F189" s="186">
        <v>36257.339935817501</v>
      </c>
      <c r="G189" s="186">
        <v>66504.319839799893</v>
      </c>
      <c r="H189" s="186">
        <v>80916.280440684597</v>
      </c>
      <c r="I189" s="186">
        <v>48655.087867071103</v>
      </c>
      <c r="J189" s="186"/>
      <c r="K189" s="186"/>
      <c r="L189" s="186"/>
      <c r="M189" s="186"/>
      <c r="N189" s="186"/>
      <c r="O189" s="186"/>
    </row>
    <row r="190" spans="2:15">
      <c r="B190" s="7">
        <v>187</v>
      </c>
      <c r="C190" s="184" t="s">
        <v>161</v>
      </c>
      <c r="D190" s="185" t="s">
        <v>90</v>
      </c>
      <c r="E190" s="186">
        <v>1578.8898708763111</v>
      </c>
      <c r="F190" s="186">
        <v>1528.2322172900101</v>
      </c>
      <c r="G190" s="186">
        <v>1651.29630506593</v>
      </c>
      <c r="H190" s="186">
        <v>2248.71651299628</v>
      </c>
      <c r="I190" s="186">
        <v>2127.8899540890202</v>
      </c>
      <c r="J190" s="186"/>
      <c r="K190" s="186"/>
      <c r="L190" s="186"/>
      <c r="M190" s="186"/>
      <c r="N190" s="186"/>
      <c r="O190" s="186"/>
    </row>
    <row r="191" spans="2:15">
      <c r="B191" s="7">
        <v>188</v>
      </c>
      <c r="C191" s="184" t="s">
        <v>162</v>
      </c>
      <c r="D191" s="185" t="s">
        <v>91</v>
      </c>
      <c r="E191" s="186">
        <v>12.814109525220486</v>
      </c>
      <c r="F191" s="186">
        <v>4.8709547716416797</v>
      </c>
      <c r="G191" s="186">
        <v>16.362102216343299</v>
      </c>
      <c r="H191" s="186">
        <v>24.946823609457599</v>
      </c>
      <c r="I191" s="186">
        <v>6.4049018544238603</v>
      </c>
      <c r="J191" s="186"/>
      <c r="K191" s="186"/>
      <c r="L191" s="186"/>
      <c r="M191" s="186"/>
      <c r="N191" s="186"/>
      <c r="O191" s="186"/>
    </row>
    <row r="192" spans="2:15">
      <c r="B192" s="7">
        <v>189</v>
      </c>
      <c r="C192" s="184" t="s">
        <v>163</v>
      </c>
      <c r="D192" s="185" t="s">
        <v>92</v>
      </c>
      <c r="E192" s="186">
        <v>8026.2492297373146</v>
      </c>
      <c r="F192" s="186">
        <v>5367.0097264452997</v>
      </c>
      <c r="G192" s="186">
        <v>9844.3330940071501</v>
      </c>
      <c r="H192" s="186">
        <v>11977.6703123198</v>
      </c>
      <c r="I192" s="186">
        <v>7202.1921709059698</v>
      </c>
      <c r="J192" s="186"/>
      <c r="K192" s="186"/>
      <c r="L192" s="186"/>
      <c r="M192" s="186"/>
      <c r="N192" s="186"/>
      <c r="O192" s="186"/>
    </row>
    <row r="193" spans="2:15" ht="24">
      <c r="B193" s="7">
        <v>190</v>
      </c>
      <c r="C193" s="187" t="s">
        <v>244</v>
      </c>
      <c r="D193" s="188" t="s">
        <v>93</v>
      </c>
      <c r="E193" s="189">
        <v>61874.161595658465</v>
      </c>
      <c r="F193" s="189">
        <v>43157.452834324497</v>
      </c>
      <c r="G193" s="189">
        <v>78016.311341089298</v>
      </c>
      <c r="H193" s="189">
        <v>95167.614089610201</v>
      </c>
      <c r="I193" s="189">
        <v>57991.5748939205</v>
      </c>
      <c r="J193" s="189"/>
      <c r="K193" s="189"/>
      <c r="L193" s="189"/>
      <c r="M193" s="189"/>
      <c r="N193" s="189"/>
      <c r="O193" s="189"/>
    </row>
    <row r="194" spans="2:15">
      <c r="B194" s="7">
        <v>191</v>
      </c>
      <c r="C194" s="190" t="s">
        <v>245</v>
      </c>
      <c r="D194" s="191" t="s">
        <v>246</v>
      </c>
      <c r="E194" s="192" t="s">
        <v>154</v>
      </c>
      <c r="F194" s="192" t="s">
        <v>154</v>
      </c>
      <c r="G194" s="192" t="s">
        <v>154</v>
      </c>
      <c r="H194" s="192" t="s">
        <v>154</v>
      </c>
      <c r="I194" s="192" t="s">
        <v>154</v>
      </c>
      <c r="J194" s="192"/>
      <c r="K194" s="192"/>
      <c r="L194" s="192"/>
      <c r="M194" s="192"/>
      <c r="N194" s="192"/>
      <c r="O194" s="192"/>
    </row>
    <row r="195" spans="2:15">
      <c r="B195" s="7">
        <v>192</v>
      </c>
      <c r="C195" s="190" t="s">
        <v>247</v>
      </c>
      <c r="D195" s="191" t="s">
        <v>248</v>
      </c>
      <c r="E195" s="192" t="s">
        <v>154</v>
      </c>
      <c r="F195" s="192" t="s">
        <v>154</v>
      </c>
      <c r="G195" s="192" t="s">
        <v>154</v>
      </c>
      <c r="H195" s="192" t="s">
        <v>154</v>
      </c>
      <c r="I195" s="192" t="s">
        <v>154</v>
      </c>
      <c r="J195" s="192"/>
      <c r="K195" s="192"/>
      <c r="L195" s="192"/>
      <c r="M195" s="192"/>
      <c r="N195" s="192"/>
      <c r="O195" s="192"/>
    </row>
    <row r="196" spans="2:15">
      <c r="B196" s="7">
        <v>193</v>
      </c>
      <c r="C196" s="190" t="s">
        <v>249</v>
      </c>
      <c r="D196" s="191" t="s">
        <v>250</v>
      </c>
      <c r="E196" s="192" t="s">
        <v>154</v>
      </c>
      <c r="F196" s="192" t="s">
        <v>154</v>
      </c>
      <c r="G196" s="192" t="s">
        <v>154</v>
      </c>
      <c r="H196" s="192" t="s">
        <v>154</v>
      </c>
      <c r="I196" s="192" t="s">
        <v>154</v>
      </c>
      <c r="J196" s="192"/>
      <c r="K196" s="192"/>
      <c r="L196" s="192"/>
      <c r="M196" s="192"/>
      <c r="N196" s="192"/>
      <c r="O196" s="192"/>
    </row>
    <row r="197" spans="2:15">
      <c r="B197" s="7">
        <v>194</v>
      </c>
      <c r="C197" s="190" t="s">
        <v>251</v>
      </c>
      <c r="D197" s="191" t="s">
        <v>252</v>
      </c>
      <c r="E197" s="192" t="s">
        <v>154</v>
      </c>
      <c r="F197" s="192" t="s">
        <v>154</v>
      </c>
      <c r="G197" s="192" t="s">
        <v>154</v>
      </c>
      <c r="H197" s="192" t="s">
        <v>154</v>
      </c>
      <c r="I197" s="192" t="s">
        <v>154</v>
      </c>
      <c r="J197" s="192"/>
      <c r="K197" s="192"/>
      <c r="L197" s="192"/>
      <c r="M197" s="192"/>
      <c r="N197" s="192"/>
      <c r="O197" s="192"/>
    </row>
    <row r="198" spans="2:15">
      <c r="B198" s="7">
        <v>195</v>
      </c>
      <c r="C198" s="190" t="s">
        <v>253</v>
      </c>
      <c r="D198" s="191" t="s">
        <v>254</v>
      </c>
      <c r="E198" s="192" t="s">
        <v>154</v>
      </c>
      <c r="F198" s="192" t="s">
        <v>154</v>
      </c>
      <c r="G198" s="192" t="s">
        <v>154</v>
      </c>
      <c r="H198" s="192" t="s">
        <v>154</v>
      </c>
      <c r="I198" s="192" t="s">
        <v>154</v>
      </c>
      <c r="J198" s="192"/>
      <c r="K198" s="192"/>
      <c r="L198" s="192"/>
      <c r="M198" s="192"/>
      <c r="N198" s="192"/>
      <c r="O198" s="192"/>
    </row>
    <row r="199" spans="2:15">
      <c r="B199" s="7">
        <v>196</v>
      </c>
      <c r="C199" s="190" t="s">
        <v>255</v>
      </c>
      <c r="D199" s="191" t="s">
        <v>256</v>
      </c>
      <c r="E199" s="192" t="s">
        <v>154</v>
      </c>
      <c r="F199" s="192" t="s">
        <v>154</v>
      </c>
      <c r="G199" s="192" t="s">
        <v>154</v>
      </c>
      <c r="H199" s="192" t="s">
        <v>154</v>
      </c>
      <c r="I199" s="192" t="s">
        <v>154</v>
      </c>
      <c r="J199" s="192"/>
      <c r="K199" s="192"/>
      <c r="L199" s="192"/>
      <c r="M199" s="192"/>
      <c r="N199" s="192"/>
      <c r="O199" s="192"/>
    </row>
    <row r="200" spans="2:15">
      <c r="B200" s="7">
        <v>197</v>
      </c>
      <c r="C200" s="190" t="s">
        <v>257</v>
      </c>
      <c r="D200" s="191" t="s">
        <v>258</v>
      </c>
      <c r="E200" s="192" t="s">
        <v>154</v>
      </c>
      <c r="F200" s="192" t="s">
        <v>154</v>
      </c>
      <c r="G200" s="192" t="s">
        <v>154</v>
      </c>
      <c r="H200" s="192" t="s">
        <v>154</v>
      </c>
      <c r="I200" s="192" t="s">
        <v>154</v>
      </c>
      <c r="J200" s="192"/>
      <c r="K200" s="192"/>
      <c r="L200" s="192"/>
      <c r="M200" s="192"/>
      <c r="N200" s="192"/>
      <c r="O200" s="192"/>
    </row>
    <row r="201" spans="2:15">
      <c r="B201" s="7">
        <v>198</v>
      </c>
      <c r="C201" s="190" t="s">
        <v>259</v>
      </c>
      <c r="D201" s="191" t="s">
        <v>260</v>
      </c>
      <c r="E201" s="192" t="s">
        <v>154</v>
      </c>
      <c r="F201" s="192" t="s">
        <v>154</v>
      </c>
      <c r="G201" s="192" t="s">
        <v>154</v>
      </c>
      <c r="H201" s="192" t="s">
        <v>154</v>
      </c>
      <c r="I201" s="192" t="s">
        <v>154</v>
      </c>
      <c r="J201" s="192"/>
      <c r="K201" s="192"/>
      <c r="L201" s="192"/>
      <c r="M201" s="192"/>
      <c r="N201" s="192"/>
      <c r="O201" s="192"/>
    </row>
    <row r="202" spans="2:15">
      <c r="B202" s="7">
        <v>199</v>
      </c>
      <c r="C202" s="190" t="s">
        <v>261</v>
      </c>
      <c r="D202" s="191" t="s">
        <v>262</v>
      </c>
      <c r="E202" s="192" t="s">
        <v>154</v>
      </c>
      <c r="F202" s="192" t="s">
        <v>154</v>
      </c>
      <c r="G202" s="192" t="s">
        <v>154</v>
      </c>
      <c r="H202" s="192" t="s">
        <v>154</v>
      </c>
      <c r="I202" s="192" t="s">
        <v>154</v>
      </c>
      <c r="J202" s="192"/>
      <c r="K202" s="192"/>
      <c r="L202" s="192"/>
      <c r="M202" s="192"/>
      <c r="N202" s="192"/>
      <c r="O202" s="192"/>
    </row>
    <row r="203" spans="2:15">
      <c r="B203" s="7">
        <v>200</v>
      </c>
      <c r="C203" s="190" t="s">
        <v>263</v>
      </c>
      <c r="D203" s="191" t="s">
        <v>264</v>
      </c>
      <c r="E203" s="192" t="s">
        <v>154</v>
      </c>
      <c r="F203" s="192" t="s">
        <v>154</v>
      </c>
      <c r="G203" s="192" t="s">
        <v>154</v>
      </c>
      <c r="H203" s="192" t="s">
        <v>154</v>
      </c>
      <c r="I203" s="192" t="s">
        <v>154</v>
      </c>
      <c r="J203" s="192"/>
      <c r="K203" s="192"/>
      <c r="L203" s="192"/>
      <c r="M203" s="192"/>
      <c r="N203" s="192"/>
      <c r="O203" s="192"/>
    </row>
    <row r="204" spans="2:15" ht="12">
      <c r="B204" s="7">
        <v>201</v>
      </c>
      <c r="C204" s="193" t="s">
        <v>265</v>
      </c>
      <c r="D204" s="194" t="s">
        <v>266</v>
      </c>
      <c r="E204" s="195" t="s">
        <v>154</v>
      </c>
      <c r="F204" s="195" t="s">
        <v>154</v>
      </c>
      <c r="G204" s="195" t="s">
        <v>154</v>
      </c>
      <c r="H204" s="195" t="s">
        <v>154</v>
      </c>
      <c r="I204" s="195" t="s">
        <v>154</v>
      </c>
      <c r="J204" s="195"/>
      <c r="K204" s="195"/>
      <c r="L204" s="195"/>
      <c r="M204" s="195"/>
      <c r="N204" s="195"/>
      <c r="O204" s="195"/>
    </row>
    <row r="205" spans="2:15" ht="12">
      <c r="B205" s="7">
        <v>202</v>
      </c>
      <c r="C205" s="193" t="s">
        <v>267</v>
      </c>
      <c r="D205" s="194" t="s">
        <v>268</v>
      </c>
      <c r="E205" s="195" t="s">
        <v>154</v>
      </c>
      <c r="F205" s="195" t="s">
        <v>154</v>
      </c>
      <c r="G205" s="195" t="s">
        <v>154</v>
      </c>
      <c r="H205" s="195" t="s">
        <v>154</v>
      </c>
      <c r="I205" s="195" t="s">
        <v>154</v>
      </c>
      <c r="J205" s="195"/>
      <c r="K205" s="195"/>
      <c r="L205" s="195"/>
      <c r="M205" s="195"/>
      <c r="N205" s="195"/>
      <c r="O205" s="195"/>
    </row>
    <row r="206" spans="2:15" ht="12">
      <c r="B206" s="7">
        <v>203</v>
      </c>
      <c r="C206" s="193" t="s">
        <v>269</v>
      </c>
      <c r="D206" s="194" t="s">
        <v>270</v>
      </c>
      <c r="E206" s="195" t="s">
        <v>154</v>
      </c>
      <c r="F206" s="195" t="s">
        <v>154</v>
      </c>
      <c r="G206" s="195" t="s">
        <v>154</v>
      </c>
      <c r="H206" s="195" t="s">
        <v>154</v>
      </c>
      <c r="I206" s="195" t="s">
        <v>154</v>
      </c>
      <c r="J206" s="195"/>
      <c r="K206" s="195"/>
      <c r="L206" s="195"/>
      <c r="M206" s="195"/>
      <c r="N206" s="195"/>
      <c r="O206" s="195"/>
    </row>
    <row r="207" spans="2:15" ht="12">
      <c r="B207" s="7">
        <v>204</v>
      </c>
      <c r="C207" s="193" t="s">
        <v>271</v>
      </c>
      <c r="D207" s="194" t="s">
        <v>272</v>
      </c>
      <c r="E207" s="195" t="s">
        <v>154</v>
      </c>
      <c r="F207" s="195" t="s">
        <v>154</v>
      </c>
      <c r="G207" s="195" t="s">
        <v>154</v>
      </c>
      <c r="H207" s="195" t="s">
        <v>154</v>
      </c>
      <c r="I207" s="195" t="s">
        <v>154</v>
      </c>
      <c r="J207" s="195"/>
      <c r="K207" s="195"/>
      <c r="L207" s="195"/>
      <c r="M207" s="195"/>
      <c r="N207" s="195"/>
      <c r="O207" s="195"/>
    </row>
    <row r="208" spans="2:15" ht="12">
      <c r="B208" s="7">
        <v>205</v>
      </c>
      <c r="C208" s="193" t="s">
        <v>273</v>
      </c>
      <c r="D208" s="194" t="s">
        <v>274</v>
      </c>
      <c r="E208" s="195" t="s">
        <v>154</v>
      </c>
      <c r="F208" s="195" t="s">
        <v>154</v>
      </c>
      <c r="G208" s="195" t="s">
        <v>154</v>
      </c>
      <c r="H208" s="195" t="s">
        <v>154</v>
      </c>
      <c r="I208" s="195" t="s">
        <v>154</v>
      </c>
      <c r="J208" s="195"/>
      <c r="K208" s="195"/>
      <c r="L208" s="195"/>
      <c r="M208" s="195"/>
      <c r="N208" s="195"/>
      <c r="O208" s="195"/>
    </row>
    <row r="209" spans="2:15" ht="12">
      <c r="B209" s="7">
        <v>206</v>
      </c>
      <c r="C209" s="193" t="s">
        <v>275</v>
      </c>
      <c r="D209" s="194" t="s">
        <v>276</v>
      </c>
      <c r="E209" s="195" t="s">
        <v>154</v>
      </c>
      <c r="F209" s="195" t="s">
        <v>154</v>
      </c>
      <c r="G209" s="195" t="s">
        <v>154</v>
      </c>
      <c r="H209" s="195" t="s">
        <v>154</v>
      </c>
      <c r="I209" s="195" t="s">
        <v>154</v>
      </c>
      <c r="J209" s="195"/>
      <c r="K209" s="195"/>
      <c r="L209" s="195"/>
      <c r="M209" s="195"/>
      <c r="N209" s="195"/>
      <c r="O209" s="195"/>
    </row>
    <row r="210" spans="2:15" ht="24">
      <c r="B210" s="7">
        <v>207</v>
      </c>
      <c r="C210" s="187" t="s">
        <v>277</v>
      </c>
      <c r="D210" s="188" t="s">
        <v>278</v>
      </c>
      <c r="E210" s="189" t="s">
        <v>154</v>
      </c>
      <c r="F210" s="189" t="s">
        <v>154</v>
      </c>
      <c r="G210" s="189" t="s">
        <v>154</v>
      </c>
      <c r="H210" s="189" t="s">
        <v>154</v>
      </c>
      <c r="I210" s="189" t="s">
        <v>154</v>
      </c>
      <c r="J210" s="189"/>
      <c r="K210" s="189"/>
      <c r="L210" s="189"/>
      <c r="M210" s="189"/>
      <c r="N210" s="189"/>
      <c r="O210" s="189"/>
    </row>
    <row r="211" spans="2:15" ht="36">
      <c r="B211" s="7">
        <v>208</v>
      </c>
      <c r="C211" s="181" t="s">
        <v>279</v>
      </c>
      <c r="D211" s="182" t="s">
        <v>280</v>
      </c>
      <c r="E211" s="183">
        <v>5302087.6807956574</v>
      </c>
      <c r="F211" s="183">
        <v>3568701.91283433</v>
      </c>
      <c r="G211" s="183">
        <v>6193194.2813410899</v>
      </c>
      <c r="H211" s="183">
        <v>8367306.03408961</v>
      </c>
      <c r="I211" s="183">
        <v>5299482.5348939197</v>
      </c>
      <c r="J211" s="183"/>
      <c r="K211" s="183"/>
      <c r="L211" s="183"/>
      <c r="M211" s="183"/>
      <c r="N211" s="183"/>
      <c r="O211" s="183"/>
    </row>
    <row r="212" spans="2:15" ht="24">
      <c r="B212" s="7">
        <v>209</v>
      </c>
      <c r="C212" s="181" t="s">
        <v>281</v>
      </c>
      <c r="D212" s="182" t="s">
        <v>282</v>
      </c>
      <c r="E212" s="183">
        <v>5410355.3087303927</v>
      </c>
      <c r="F212" s="183">
        <v>3657972.0328343301</v>
      </c>
      <c r="G212" s="183">
        <v>6242999.3513410902</v>
      </c>
      <c r="H212" s="183">
        <v>8432155.7140896097</v>
      </c>
      <c r="I212" s="183">
        <v>5343032.89489392</v>
      </c>
      <c r="J212" s="183"/>
      <c r="K212" s="183"/>
      <c r="L212" s="183"/>
      <c r="M212" s="183"/>
      <c r="N212" s="183"/>
      <c r="O212" s="183"/>
    </row>
    <row r="213" spans="2:15" ht="15">
      <c r="B213" s="7">
        <v>210</v>
      </c>
      <c r="C213" s="146" t="s">
        <v>164</v>
      </c>
      <c r="D213" s="146"/>
      <c r="E213" s="147"/>
      <c r="F213" s="147"/>
      <c r="G213" s="147"/>
      <c r="H213" s="147"/>
      <c r="I213" s="147"/>
      <c r="J213" s="146"/>
      <c r="K213" s="146"/>
      <c r="L213" s="146"/>
      <c r="M213" s="146"/>
      <c r="N213" s="146"/>
      <c r="O213" s="146"/>
    </row>
    <row r="214" spans="2:15" ht="12.6">
      <c r="B214" s="7">
        <v>211</v>
      </c>
      <c r="C214" s="145"/>
      <c r="D214" s="145"/>
      <c r="E214" s="145"/>
      <c r="F214" s="145"/>
      <c r="G214" s="145"/>
      <c r="H214" s="145"/>
      <c r="I214" s="145"/>
      <c r="J214" s="145"/>
      <c r="K214" s="145"/>
      <c r="L214" s="145"/>
      <c r="M214" s="145"/>
      <c r="N214" s="145"/>
      <c r="O214" s="145"/>
    </row>
    <row r="215" spans="2:15">
      <c r="B215" s="7">
        <v>212</v>
      </c>
      <c r="C215" s="178"/>
      <c r="D215" s="179" t="s">
        <v>167</v>
      </c>
      <c r="E215" s="178" t="s">
        <v>153</v>
      </c>
      <c r="F215" s="178" t="s">
        <v>285</v>
      </c>
      <c r="G215" s="178" t="s">
        <v>168</v>
      </c>
      <c r="H215" s="178" t="s">
        <v>168</v>
      </c>
      <c r="I215" s="178" t="s">
        <v>168</v>
      </c>
      <c r="J215" s="178"/>
      <c r="K215" s="178"/>
      <c r="L215" s="178"/>
      <c r="M215" s="178"/>
      <c r="N215" s="178"/>
      <c r="O215" s="178"/>
    </row>
    <row r="216" spans="2:15" ht="15">
      <c r="B216" s="7">
        <v>213</v>
      </c>
      <c r="C216" s="146" t="s">
        <v>164</v>
      </c>
      <c r="D216" s="146"/>
      <c r="E216" s="147"/>
      <c r="F216" s="147"/>
      <c r="G216" s="147"/>
      <c r="H216" s="147"/>
      <c r="I216" s="147"/>
      <c r="J216" s="146"/>
      <c r="K216" s="146"/>
      <c r="L216" s="146"/>
      <c r="M216" s="146"/>
      <c r="N216" s="146"/>
      <c r="O216" s="146"/>
    </row>
    <row r="217" spans="2:15" ht="12.6">
      <c r="B217" s="7">
        <v>214</v>
      </c>
      <c r="C217" s="145"/>
      <c r="D217" s="145"/>
      <c r="E217" s="145"/>
      <c r="F217" s="145"/>
      <c r="G217" s="145"/>
      <c r="H217" s="145"/>
      <c r="I217" s="145"/>
      <c r="J217" s="145"/>
      <c r="K217" s="145"/>
      <c r="L217" s="145"/>
      <c r="M217" s="145"/>
      <c r="N217" s="145"/>
      <c r="O217" s="145"/>
    </row>
    <row r="218" spans="2:15">
      <c r="B218" s="7">
        <v>215</v>
      </c>
      <c r="C218" s="178" t="s">
        <v>169</v>
      </c>
      <c r="D218" s="179" t="s">
        <v>170</v>
      </c>
      <c r="E218" s="180">
        <f>23566740*0.954866</f>
        <v>22503078.756839998</v>
      </c>
      <c r="F218" s="180">
        <v>573524</v>
      </c>
      <c r="G218" s="180">
        <v>950726</v>
      </c>
      <c r="H218" s="180">
        <v>1311025</v>
      </c>
      <c r="I218" s="180">
        <v>798955</v>
      </c>
      <c r="J218" s="196"/>
      <c r="K218" s="196"/>
      <c r="L218" s="196"/>
      <c r="M218" s="196"/>
      <c r="N218" s="196"/>
      <c r="O218" s="196"/>
    </row>
    <row r="219" spans="2:15" ht="15">
      <c r="B219" s="7">
        <v>216</v>
      </c>
      <c r="C219" s="146" t="s">
        <v>164</v>
      </c>
      <c r="D219" s="146"/>
      <c r="E219" s="147"/>
      <c r="F219" s="147"/>
      <c r="G219" s="147"/>
      <c r="H219" s="147"/>
      <c r="I219" s="147"/>
      <c r="J219" s="146"/>
      <c r="K219" s="146"/>
      <c r="L219" s="146"/>
      <c r="M219" s="146"/>
      <c r="N219" s="146"/>
      <c r="O219" s="146"/>
    </row>
    <row r="220" spans="2:15" ht="12.6">
      <c r="B220" s="7">
        <v>217</v>
      </c>
      <c r="C220" s="145"/>
      <c r="D220" s="145"/>
      <c r="E220" s="145"/>
      <c r="F220" s="145"/>
      <c r="G220" s="145"/>
      <c r="H220" s="145"/>
      <c r="I220" s="145"/>
      <c r="J220" s="145"/>
      <c r="K220" s="145"/>
      <c r="L220" s="145"/>
      <c r="M220" s="145"/>
      <c r="N220" s="145"/>
      <c r="O220" s="145"/>
    </row>
    <row r="221" spans="2:15" ht="12">
      <c r="B221" s="7">
        <v>218</v>
      </c>
      <c r="C221" s="178" t="s">
        <v>171</v>
      </c>
      <c r="D221" s="182" t="s">
        <v>172</v>
      </c>
      <c r="E221" s="196">
        <v>0.22498180405077908</v>
      </c>
      <c r="F221" s="196">
        <v>6.2544051513101504</v>
      </c>
      <c r="G221" s="196">
        <v>6.4321139529159801</v>
      </c>
      <c r="H221" s="196">
        <v>6.3126511088652002</v>
      </c>
      <c r="I221" s="196">
        <v>6.56043326595365</v>
      </c>
      <c r="J221" s="196"/>
      <c r="K221" s="196"/>
      <c r="L221" s="196"/>
      <c r="M221" s="196"/>
      <c r="N221" s="196"/>
      <c r="O221" s="196"/>
    </row>
    <row r="222" spans="2:15" ht="48">
      <c r="B222" s="7">
        <v>219</v>
      </c>
      <c r="C222" s="178" t="s">
        <v>173</v>
      </c>
      <c r="D222" s="182" t="s">
        <v>283</v>
      </c>
      <c r="E222" s="196">
        <v>0.22957588995042982</v>
      </c>
      <c r="F222" s="196">
        <v>6.3780627015335503</v>
      </c>
      <c r="G222" s="196">
        <v>6.5665600302727496</v>
      </c>
      <c r="H222" s="196">
        <v>6.4317276284507301</v>
      </c>
      <c r="I222" s="196">
        <v>6.6875267003697596</v>
      </c>
      <c r="J222" s="196"/>
      <c r="K222" s="196"/>
      <c r="L222" s="196"/>
      <c r="M222" s="196"/>
      <c r="N222" s="196"/>
      <c r="O222" s="196"/>
    </row>
    <row r="223" spans="2:15" ht="15">
      <c r="B223" s="7">
        <v>220</v>
      </c>
      <c r="C223" s="146" t="s">
        <v>164</v>
      </c>
      <c r="D223" s="146"/>
      <c r="E223" s="147"/>
      <c r="F223" s="147"/>
      <c r="G223" s="147"/>
      <c r="H223" s="147"/>
      <c r="I223" s="147"/>
      <c r="J223" s="146"/>
      <c r="K223" s="146"/>
      <c r="L223" s="146"/>
      <c r="M223" s="146"/>
      <c r="N223" s="146"/>
      <c r="O223" s="146"/>
    </row>
    <row r="224" spans="2:15" ht="12.6">
      <c r="B224" s="7">
        <v>221</v>
      </c>
      <c r="C224" s="145"/>
      <c r="D224" s="145"/>
      <c r="E224" s="145"/>
      <c r="F224" s="145"/>
      <c r="G224" s="145"/>
      <c r="H224" s="145"/>
      <c r="I224" s="145"/>
      <c r="J224" s="145"/>
      <c r="K224" s="145"/>
      <c r="L224" s="145"/>
      <c r="M224" s="145"/>
      <c r="N224" s="145"/>
      <c r="O224" s="145"/>
    </row>
    <row r="225" spans="2:15">
      <c r="B225" s="7">
        <v>222</v>
      </c>
      <c r="C225" s="178"/>
      <c r="D225" s="179" t="s">
        <v>165</v>
      </c>
      <c r="E225" s="178"/>
      <c r="F225" s="178"/>
      <c r="G225" s="178"/>
      <c r="H225" s="178"/>
      <c r="I225" s="178"/>
      <c r="J225" s="178"/>
      <c r="K225" s="178"/>
      <c r="L225" s="178"/>
      <c r="M225" s="178"/>
      <c r="N225" s="178"/>
      <c r="O225" s="178"/>
    </row>
    <row r="226" spans="2:15" ht="15">
      <c r="B226" s="7">
        <v>223</v>
      </c>
      <c r="C226" s="146" t="s">
        <v>164</v>
      </c>
      <c r="D226" s="146"/>
      <c r="E226" s="147"/>
      <c r="F226" s="147"/>
      <c r="G226" s="147"/>
      <c r="H226" s="147"/>
      <c r="I226" s="147"/>
      <c r="J226" s="146"/>
      <c r="K226" s="146"/>
      <c r="L226" s="146"/>
      <c r="M226" s="146"/>
      <c r="N226" s="146"/>
      <c r="O226" s="146"/>
    </row>
    <row r="227" spans="2:15" ht="12.6">
      <c r="B227" s="7">
        <v>224</v>
      </c>
      <c r="C227" s="145"/>
      <c r="D227" s="145"/>
      <c r="E227" s="145"/>
      <c r="F227" s="145"/>
      <c r="G227" s="145"/>
      <c r="H227" s="145"/>
      <c r="I227" s="145"/>
      <c r="J227" s="145"/>
      <c r="K227" s="145"/>
      <c r="L227" s="145"/>
      <c r="M227" s="145"/>
      <c r="N227" s="145"/>
      <c r="O227" s="145"/>
    </row>
    <row r="228" spans="2:15">
      <c r="B228" s="7">
        <v>225</v>
      </c>
      <c r="C228" s="178"/>
      <c r="D228" s="179" t="s">
        <v>43</v>
      </c>
      <c r="E228" s="196">
        <v>808512.67779999995</v>
      </c>
      <c r="F228" s="196">
        <v>480500.1</v>
      </c>
      <c r="G228" s="196">
        <v>678683.53</v>
      </c>
      <c r="H228" s="196">
        <v>1168963.75</v>
      </c>
      <c r="I228" s="196">
        <v>741401.96</v>
      </c>
      <c r="J228" s="196"/>
      <c r="K228" s="196"/>
      <c r="L228" s="196"/>
      <c r="M228" s="196"/>
      <c r="N228" s="196"/>
      <c r="O228" s="196"/>
    </row>
    <row r="229" spans="2:15">
      <c r="B229" s="7">
        <v>226</v>
      </c>
      <c r="C229" s="178"/>
      <c r="D229" s="179" t="s">
        <v>44</v>
      </c>
      <c r="E229" s="196">
        <v>7.8491999999999997</v>
      </c>
      <c r="F229" s="196">
        <v>3.34</v>
      </c>
      <c r="G229" s="196">
        <v>6.74</v>
      </c>
      <c r="H229" s="196">
        <v>9.2899999999999991</v>
      </c>
      <c r="I229" s="196">
        <v>6.87</v>
      </c>
      <c r="J229" s="196"/>
      <c r="K229" s="196"/>
      <c r="L229" s="196"/>
      <c r="M229" s="196"/>
      <c r="N229" s="196"/>
      <c r="O229" s="196"/>
    </row>
    <row r="230" spans="2:15" ht="24">
      <c r="B230" s="7">
        <v>227</v>
      </c>
      <c r="C230" s="197"/>
      <c r="D230" s="198" t="s">
        <v>166</v>
      </c>
      <c r="E230" s="199">
        <v>95795.34096799999</v>
      </c>
      <c r="F230" s="199">
        <v>143862.30540000001</v>
      </c>
      <c r="G230" s="199">
        <v>100694.8858</v>
      </c>
      <c r="H230" s="199">
        <v>125830.32829999999</v>
      </c>
      <c r="I230" s="199">
        <v>107918.7715</v>
      </c>
      <c r="J230" s="199"/>
      <c r="K230" s="199"/>
      <c r="L230" s="199"/>
      <c r="M230" s="199"/>
      <c r="N230" s="199"/>
      <c r="O230" s="199"/>
    </row>
    <row r="231" spans="2:15" ht="15">
      <c r="B231" s="7">
        <v>228</v>
      </c>
      <c r="C231" s="146" t="s">
        <v>164</v>
      </c>
      <c r="D231" s="146"/>
      <c r="E231" s="147"/>
      <c r="F231" s="147"/>
      <c r="G231" s="147"/>
      <c r="H231" s="147"/>
      <c r="I231" s="147"/>
      <c r="J231" s="146"/>
      <c r="K231" s="146"/>
      <c r="L231" s="146"/>
      <c r="M231" s="146"/>
      <c r="N231" s="146"/>
      <c r="O231" s="146"/>
    </row>
    <row r="232" spans="2:15" ht="12.6">
      <c r="B232" s="7">
        <v>229</v>
      </c>
      <c r="C232" s="145"/>
      <c r="D232" s="145"/>
      <c r="E232" s="145"/>
      <c r="F232" s="145"/>
      <c r="G232" s="145"/>
      <c r="H232" s="145"/>
      <c r="I232" s="145"/>
      <c r="J232" s="145"/>
      <c r="K232" s="145"/>
      <c r="L232" s="145"/>
      <c r="M232" s="145"/>
      <c r="N232" s="145"/>
      <c r="O232" s="145"/>
    </row>
    <row r="233" spans="2:15">
      <c r="B233" s="7">
        <v>230</v>
      </c>
      <c r="C233" s="178"/>
      <c r="D233" s="179" t="s">
        <v>45</v>
      </c>
      <c r="E233" s="196"/>
      <c r="F233" s="196">
        <v>95313.19</v>
      </c>
      <c r="G233" s="196">
        <v>188492.52</v>
      </c>
      <c r="H233" s="196">
        <v>244142.68</v>
      </c>
      <c r="I233" s="196">
        <v>126711.67999999999</v>
      </c>
      <c r="J233" s="196"/>
      <c r="K233" s="196"/>
      <c r="L233" s="196"/>
      <c r="M233" s="196"/>
      <c r="N233" s="196"/>
      <c r="O233" s="196"/>
    </row>
    <row r="234" spans="2:15">
      <c r="B234" s="7">
        <v>231</v>
      </c>
      <c r="C234" s="178"/>
      <c r="D234" s="179" t="s">
        <v>46</v>
      </c>
      <c r="E234" s="196">
        <v>3.2806000000000002</v>
      </c>
      <c r="F234" s="196">
        <v>2.23</v>
      </c>
      <c r="G234" s="196">
        <v>4.08</v>
      </c>
      <c r="H234" s="196">
        <v>4.25</v>
      </c>
      <c r="I234" s="196">
        <v>2.39</v>
      </c>
      <c r="J234" s="196"/>
      <c r="K234" s="196"/>
      <c r="L234" s="196"/>
      <c r="M234" s="196"/>
      <c r="N234" s="196"/>
      <c r="O234" s="196"/>
    </row>
    <row r="235" spans="2:15" ht="12">
      <c r="B235" s="7">
        <v>232</v>
      </c>
      <c r="C235" s="197"/>
      <c r="D235" s="198" t="s">
        <v>47</v>
      </c>
      <c r="E235" s="199">
        <v>46839.465633</v>
      </c>
      <c r="F235" s="199">
        <v>42741.340799999998</v>
      </c>
      <c r="G235" s="199">
        <v>46199.147100000002</v>
      </c>
      <c r="H235" s="199">
        <v>57445.336499999998</v>
      </c>
      <c r="I235" s="199">
        <v>53017.439299999998</v>
      </c>
      <c r="J235" s="199"/>
      <c r="K235" s="199"/>
      <c r="L235" s="199"/>
      <c r="M235" s="199"/>
      <c r="N235" s="199"/>
      <c r="O235" s="199"/>
    </row>
    <row r="236" spans="2:15" ht="15">
      <c r="B236" s="7">
        <v>233</v>
      </c>
      <c r="C236" s="146" t="s">
        <v>164</v>
      </c>
      <c r="D236" s="146"/>
      <c r="E236" s="147"/>
      <c r="F236" s="147"/>
      <c r="G236" s="147"/>
      <c r="H236" s="147"/>
      <c r="I236" s="147"/>
      <c r="J236" s="146"/>
      <c r="K236" s="146"/>
      <c r="L236" s="146"/>
      <c r="M236" s="146"/>
      <c r="N236" s="146"/>
      <c r="O236" s="146"/>
    </row>
    <row r="237" spans="2:15" ht="12.6">
      <c r="B237" s="7">
        <v>234</v>
      </c>
      <c r="C237" s="145"/>
      <c r="D237" s="145"/>
      <c r="E237" s="145"/>
      <c r="F237" s="145"/>
      <c r="G237" s="145"/>
      <c r="H237" s="145"/>
      <c r="I237" s="145"/>
      <c r="J237" s="145"/>
      <c r="K237" s="145"/>
      <c r="L237" s="145"/>
      <c r="M237" s="145"/>
      <c r="N237" s="145"/>
      <c r="O237" s="145"/>
    </row>
    <row r="238" spans="2:15">
      <c r="B238" s="7">
        <v>235</v>
      </c>
      <c r="C238" s="178"/>
      <c r="D238" s="179" t="s">
        <v>150</v>
      </c>
      <c r="E238" s="196">
        <v>0</v>
      </c>
      <c r="F238" s="196">
        <v>0</v>
      </c>
      <c r="G238" s="196">
        <v>0</v>
      </c>
      <c r="H238" s="196">
        <v>0</v>
      </c>
      <c r="I238" s="196">
        <v>0</v>
      </c>
      <c r="J238" s="196"/>
      <c r="K238" s="196"/>
      <c r="L238" s="196"/>
      <c r="M238" s="196"/>
      <c r="N238" s="196"/>
      <c r="O238" s="196"/>
    </row>
    <row r="239" spans="2:15">
      <c r="B239" s="7">
        <v>236</v>
      </c>
      <c r="C239" s="178"/>
      <c r="D239" s="179" t="s">
        <v>284</v>
      </c>
      <c r="E239" s="196">
        <v>0</v>
      </c>
      <c r="F239" s="196">
        <v>0</v>
      </c>
      <c r="G239" s="196">
        <v>0</v>
      </c>
      <c r="H239" s="196">
        <v>0</v>
      </c>
      <c r="I239" s="196">
        <v>0</v>
      </c>
      <c r="J239" s="196"/>
      <c r="K239" s="196"/>
      <c r="L239" s="196"/>
      <c r="M239" s="196"/>
      <c r="N239" s="196"/>
      <c r="O239" s="196"/>
    </row>
    <row r="240" spans="2:15" ht="24">
      <c r="B240" s="7">
        <v>237</v>
      </c>
      <c r="C240" s="200"/>
      <c r="D240" s="201" t="s">
        <v>151</v>
      </c>
      <c r="E240" s="202" t="s">
        <v>154</v>
      </c>
      <c r="F240" s="202" t="s">
        <v>154</v>
      </c>
      <c r="G240" s="202" t="s">
        <v>154</v>
      </c>
      <c r="H240" s="202" t="s">
        <v>154</v>
      </c>
      <c r="I240" s="202" t="s">
        <v>154</v>
      </c>
      <c r="J240" s="202"/>
      <c r="K240" s="202"/>
      <c r="L240" s="202"/>
      <c r="M240" s="202"/>
      <c r="N240" s="202"/>
      <c r="O240" s="202"/>
    </row>
    <row r="241" spans="2:15" ht="15">
      <c r="B241" s="7">
        <v>238</v>
      </c>
      <c r="C241" s="146" t="s">
        <v>164</v>
      </c>
      <c r="D241" s="146"/>
      <c r="E241" s="147"/>
      <c r="F241" s="147"/>
      <c r="G241" s="147"/>
      <c r="H241" s="147"/>
      <c r="I241" s="147"/>
      <c r="J241" s="146"/>
      <c r="K241" s="146"/>
      <c r="L241" s="146"/>
      <c r="M241" s="146"/>
      <c r="N241" s="146"/>
      <c r="O241" s="146"/>
    </row>
    <row r="242" spans="2:15" ht="12.6">
      <c r="B242" s="7">
        <v>239</v>
      </c>
      <c r="C242" s="145"/>
      <c r="D242" s="145"/>
      <c r="E242" s="145"/>
      <c r="F242" s="145"/>
      <c r="G242" s="145"/>
      <c r="H242" s="145"/>
      <c r="I242" s="145"/>
      <c r="J242" s="145"/>
      <c r="K242" s="145"/>
      <c r="L242" s="145"/>
      <c r="M242" s="145"/>
      <c r="N242" s="145"/>
      <c r="O242" s="145"/>
    </row>
    <row r="243" spans="2:15">
      <c r="B243" s="7">
        <v>240</v>
      </c>
      <c r="C243" s="178"/>
      <c r="D243" s="179" t="s">
        <v>48</v>
      </c>
      <c r="E243" s="196">
        <v>1864345.7664000001</v>
      </c>
      <c r="F243" s="196">
        <v>1095768.26</v>
      </c>
      <c r="G243" s="196">
        <v>2094205.79</v>
      </c>
      <c r="H243" s="196">
        <v>3173619.27</v>
      </c>
      <c r="I243" s="196">
        <v>1978126.96</v>
      </c>
      <c r="J243" s="196"/>
      <c r="K243" s="196"/>
      <c r="L243" s="196"/>
      <c r="M243" s="196"/>
      <c r="N243" s="196"/>
      <c r="O243" s="196"/>
    </row>
    <row r="244" spans="2:15">
      <c r="B244" s="7">
        <v>241</v>
      </c>
      <c r="C244" s="178"/>
      <c r="D244" s="179" t="s">
        <v>49</v>
      </c>
      <c r="E244" s="196">
        <v>35.7864</v>
      </c>
      <c r="F244" s="196">
        <v>20.420000000000002</v>
      </c>
      <c r="G244" s="196">
        <v>35.479999999999997</v>
      </c>
      <c r="H244" s="196">
        <v>58.57</v>
      </c>
      <c r="I244" s="196">
        <v>37.229999999999997</v>
      </c>
      <c r="J244" s="196"/>
      <c r="K244" s="196"/>
      <c r="L244" s="196"/>
      <c r="M244" s="196"/>
      <c r="N244" s="196"/>
      <c r="O244" s="196"/>
    </row>
    <row r="245" spans="2:15" ht="12">
      <c r="B245" s="7">
        <v>242</v>
      </c>
      <c r="C245" s="203"/>
      <c r="D245" s="204" t="s">
        <v>50</v>
      </c>
      <c r="E245" s="205">
        <v>48449.734079999995</v>
      </c>
      <c r="F245" s="205">
        <v>53661.521099999998</v>
      </c>
      <c r="G245" s="205">
        <v>59024.965900000003</v>
      </c>
      <c r="H245" s="205">
        <v>54185.065199999997</v>
      </c>
      <c r="I245" s="205">
        <v>53132.607000000004</v>
      </c>
      <c r="J245" s="205"/>
      <c r="K245" s="205"/>
      <c r="L245" s="205"/>
      <c r="M245" s="205"/>
      <c r="N245" s="205"/>
      <c r="O245" s="205"/>
    </row>
    <row r="246" spans="2:15" ht="15">
      <c r="B246" s="7">
        <v>243</v>
      </c>
      <c r="C246" s="146" t="s">
        <v>164</v>
      </c>
      <c r="D246" s="146"/>
      <c r="E246" s="147"/>
      <c r="F246" s="147"/>
      <c r="G246" s="147"/>
      <c r="H246" s="147"/>
      <c r="I246" s="147"/>
      <c r="J246" s="146"/>
      <c r="K246" s="146"/>
      <c r="L246" s="146"/>
      <c r="M246" s="146"/>
      <c r="N246" s="146"/>
      <c r="O246" s="146"/>
    </row>
    <row r="247" spans="2:15" ht="12.6">
      <c r="B247" s="7">
        <v>244</v>
      </c>
      <c r="C247" s="145"/>
      <c r="D247" s="145"/>
      <c r="E247" s="145"/>
      <c r="F247" s="145"/>
      <c r="G247" s="145"/>
      <c r="H247" s="145"/>
      <c r="I247" s="145"/>
      <c r="J247" s="145"/>
      <c r="K247" s="145"/>
      <c r="L247" s="145"/>
      <c r="M247" s="145"/>
      <c r="N247" s="145"/>
      <c r="O247" s="145"/>
    </row>
    <row r="248" spans="2:15">
      <c r="B248" s="7">
        <v>245</v>
      </c>
      <c r="C248" s="178"/>
      <c r="D248" s="179" t="s">
        <v>51</v>
      </c>
      <c r="E248" s="196">
        <v>694487.78150000004</v>
      </c>
      <c r="F248" s="196">
        <v>688756.44</v>
      </c>
      <c r="G248" s="196">
        <v>988673.67</v>
      </c>
      <c r="H248" s="196">
        <v>964618.93</v>
      </c>
      <c r="I248" s="196">
        <v>766441.54</v>
      </c>
      <c r="J248" s="196"/>
      <c r="K248" s="196"/>
      <c r="L248" s="196"/>
      <c r="M248" s="196"/>
      <c r="N248" s="196"/>
      <c r="O248" s="196"/>
    </row>
    <row r="249" spans="2:15">
      <c r="B249" s="7">
        <v>246</v>
      </c>
      <c r="C249" s="178"/>
      <c r="D249" s="179" t="s">
        <v>52</v>
      </c>
      <c r="E249" s="196">
        <v>16.540800000000001</v>
      </c>
      <c r="F249" s="196">
        <v>51.03</v>
      </c>
      <c r="G249" s="196">
        <v>20.62</v>
      </c>
      <c r="H249" s="196">
        <v>14.19</v>
      </c>
      <c r="I249" s="196">
        <v>12.08</v>
      </c>
      <c r="J249" s="196"/>
      <c r="K249" s="196"/>
      <c r="L249" s="196"/>
      <c r="M249" s="196"/>
      <c r="N249" s="196"/>
      <c r="O249" s="196"/>
    </row>
    <row r="250" spans="2:15" ht="12">
      <c r="B250" s="7">
        <v>247</v>
      </c>
      <c r="C250" s="206"/>
      <c r="D250" s="207" t="s">
        <v>53</v>
      </c>
      <c r="E250" s="208">
        <v>40306.893834999995</v>
      </c>
      <c r="F250" s="208">
        <v>13497.0888</v>
      </c>
      <c r="G250" s="208">
        <v>47947.316700000003</v>
      </c>
      <c r="H250" s="208">
        <v>67978.782900000006</v>
      </c>
      <c r="I250" s="208">
        <v>63447.147400000002</v>
      </c>
      <c r="J250" s="208"/>
      <c r="K250" s="208"/>
      <c r="L250" s="208"/>
      <c r="M250" s="208"/>
      <c r="N250" s="208"/>
      <c r="O250" s="208"/>
    </row>
    <row r="251" spans="2:15" ht="15">
      <c r="B251" s="7">
        <v>248</v>
      </c>
      <c r="C251" s="146" t="s">
        <v>164</v>
      </c>
      <c r="D251" s="146"/>
      <c r="E251" s="147"/>
      <c r="F251" s="147"/>
      <c r="G251" s="147"/>
      <c r="H251" s="147"/>
      <c r="I251" s="147"/>
      <c r="J251" s="146"/>
      <c r="K251" s="146"/>
      <c r="L251" s="146"/>
      <c r="M251" s="146"/>
      <c r="N251" s="146"/>
      <c r="O251" s="146"/>
    </row>
    <row r="252" spans="2:15" ht="12.6">
      <c r="B252" s="7">
        <v>249</v>
      </c>
      <c r="C252" s="145"/>
      <c r="D252" s="145"/>
      <c r="E252" s="145"/>
      <c r="F252" s="145"/>
      <c r="G252" s="145"/>
      <c r="H252" s="145"/>
      <c r="I252" s="145"/>
      <c r="J252" s="145"/>
      <c r="K252" s="145"/>
      <c r="L252" s="145"/>
      <c r="M252" s="145"/>
      <c r="N252" s="145"/>
      <c r="O252" s="145"/>
    </row>
    <row r="253" spans="2:15">
      <c r="B253" s="7">
        <v>250</v>
      </c>
      <c r="C253" s="178"/>
      <c r="D253" s="179" t="s">
        <v>54</v>
      </c>
      <c r="E253" s="196">
        <v>2459221.2812000001</v>
      </c>
      <c r="F253" s="196">
        <v>1784524.7</v>
      </c>
      <c r="G253" s="196">
        <v>3082879.46</v>
      </c>
      <c r="H253" s="196">
        <v>4138238.2</v>
      </c>
      <c r="I253" s="196">
        <v>2744568.5</v>
      </c>
      <c r="J253" s="196"/>
      <c r="K253" s="196"/>
      <c r="L253" s="196"/>
      <c r="M253" s="196"/>
      <c r="N253" s="196"/>
      <c r="O253" s="196"/>
    </row>
    <row r="254" spans="2:15">
      <c r="B254" s="7">
        <v>251</v>
      </c>
      <c r="C254" s="178"/>
      <c r="D254" s="179" t="s">
        <v>55</v>
      </c>
      <c r="E254" s="196">
        <v>51.810300000000005</v>
      </c>
      <c r="F254" s="196">
        <v>71.45</v>
      </c>
      <c r="G254" s="196">
        <v>56.1</v>
      </c>
      <c r="H254" s="196">
        <v>72.760000000000005</v>
      </c>
      <c r="I254" s="196">
        <v>49.31</v>
      </c>
      <c r="J254" s="196"/>
      <c r="K254" s="196"/>
      <c r="L254" s="196"/>
      <c r="M254" s="196"/>
      <c r="N254" s="196"/>
      <c r="O254" s="196"/>
    </row>
    <row r="255" spans="2:15" ht="12">
      <c r="B255" s="7">
        <v>252</v>
      </c>
      <c r="C255" s="209"/>
      <c r="D255" s="210" t="s">
        <v>56</v>
      </c>
      <c r="E255" s="211">
        <v>45582.719024999999</v>
      </c>
      <c r="F255" s="211">
        <v>24975.852999999999</v>
      </c>
      <c r="G255" s="211">
        <v>54953.288099999998</v>
      </c>
      <c r="H255" s="211">
        <v>56875.181400000001</v>
      </c>
      <c r="I255" s="211">
        <v>55659.470699999998</v>
      </c>
      <c r="J255" s="211"/>
      <c r="K255" s="211"/>
      <c r="L255" s="211"/>
      <c r="M255" s="211"/>
      <c r="N255" s="211"/>
      <c r="O255" s="211"/>
    </row>
    <row r="256" spans="2:15" ht="15">
      <c r="B256" s="7">
        <v>253</v>
      </c>
      <c r="C256" s="146" t="s">
        <v>164</v>
      </c>
      <c r="D256" s="146"/>
      <c r="E256" s="147"/>
      <c r="F256" s="147"/>
      <c r="G256" s="147"/>
      <c r="H256" s="147"/>
      <c r="I256" s="147"/>
      <c r="J256" s="146"/>
      <c r="K256" s="146"/>
      <c r="L256" s="146"/>
      <c r="M256" s="146"/>
      <c r="N256" s="146"/>
      <c r="O256" s="146"/>
    </row>
    <row r="257" spans="2:15" ht="12.6">
      <c r="B257" s="7">
        <v>254</v>
      </c>
      <c r="C257" s="145"/>
      <c r="D257" s="145"/>
      <c r="E257" s="145"/>
      <c r="F257" s="145"/>
      <c r="G257" s="145"/>
      <c r="H257" s="145"/>
      <c r="I257" s="145"/>
      <c r="J257" s="145"/>
      <c r="K257" s="145"/>
      <c r="L257" s="145"/>
      <c r="M257" s="145"/>
      <c r="N257" s="145"/>
      <c r="O257" s="145"/>
    </row>
    <row r="258" spans="2:15" ht="24">
      <c r="B258" s="7">
        <v>255</v>
      </c>
      <c r="C258" s="212"/>
      <c r="D258" s="213" t="s">
        <v>219</v>
      </c>
      <c r="E258" s="214" t="s">
        <v>154</v>
      </c>
      <c r="F258" s="214" t="s">
        <v>154</v>
      </c>
      <c r="G258" s="214" t="s">
        <v>154</v>
      </c>
      <c r="H258" s="214" t="s">
        <v>154</v>
      </c>
      <c r="I258" s="214" t="s">
        <v>154</v>
      </c>
      <c r="J258" s="214"/>
      <c r="K258" s="214"/>
      <c r="L258" s="214"/>
      <c r="M258" s="214"/>
      <c r="N258" s="214"/>
      <c r="O258" s="214"/>
    </row>
    <row r="259" spans="2:15">
      <c r="B259" s="7">
        <v>256</v>
      </c>
      <c r="C259" s="178" t="s">
        <v>212</v>
      </c>
      <c r="D259" s="179" t="s">
        <v>213</v>
      </c>
      <c r="E259" s="180">
        <v>114146.13709999999</v>
      </c>
      <c r="F259" s="180">
        <v>64398.82</v>
      </c>
      <c r="G259" s="180">
        <v>87036.55</v>
      </c>
      <c r="H259" s="180">
        <v>151709.35</v>
      </c>
      <c r="I259" s="180">
        <v>79525.52</v>
      </c>
      <c r="J259" s="180"/>
      <c r="K259" s="180"/>
      <c r="L259" s="180"/>
      <c r="M259" s="180"/>
      <c r="N259" s="180"/>
      <c r="O259" s="180"/>
    </row>
    <row r="260" spans="2:15">
      <c r="B260" s="7">
        <v>257</v>
      </c>
      <c r="C260" s="178" t="s">
        <v>214</v>
      </c>
      <c r="D260" s="179" t="s">
        <v>215</v>
      </c>
      <c r="E260" s="180">
        <v>858783.92639999988</v>
      </c>
      <c r="F260" s="180">
        <v>501350.6</v>
      </c>
      <c r="G260" s="180">
        <v>710608.34</v>
      </c>
      <c r="H260" s="180">
        <v>1212746.72</v>
      </c>
      <c r="I260" s="180">
        <v>775322.52</v>
      </c>
      <c r="J260" s="180"/>
      <c r="K260" s="180"/>
      <c r="L260" s="180"/>
      <c r="M260" s="180"/>
      <c r="N260" s="180"/>
      <c r="O260" s="180"/>
    </row>
    <row r="261" spans="2:15">
      <c r="B261" s="7">
        <v>258</v>
      </c>
      <c r="C261" s="178" t="s">
        <v>220</v>
      </c>
      <c r="D261" s="179" t="s">
        <v>221</v>
      </c>
      <c r="E261" s="180">
        <v>183657.17119999998</v>
      </c>
      <c r="F261" s="180">
        <v>168155.18</v>
      </c>
      <c r="G261" s="180">
        <v>258862.59</v>
      </c>
      <c r="H261" s="180">
        <v>311123.73</v>
      </c>
      <c r="I261" s="180">
        <v>195163.07</v>
      </c>
      <c r="J261" s="180"/>
      <c r="K261" s="180"/>
      <c r="L261" s="180"/>
      <c r="M261" s="180"/>
      <c r="N261" s="180"/>
      <c r="O261" s="180"/>
    </row>
    <row r="262" spans="2:15">
      <c r="B262" s="7">
        <v>259</v>
      </c>
      <c r="C262" s="178" t="s">
        <v>216</v>
      </c>
      <c r="D262" s="179" t="s">
        <v>217</v>
      </c>
      <c r="E262" s="180">
        <v>158413.97</v>
      </c>
      <c r="F262" s="180">
        <v>95313.19</v>
      </c>
      <c r="G262" s="180">
        <v>188492.52</v>
      </c>
      <c r="H262" s="180">
        <v>244142.68</v>
      </c>
      <c r="I262" s="180">
        <v>126711.67999999999</v>
      </c>
      <c r="J262" s="180"/>
      <c r="K262" s="180"/>
      <c r="L262" s="180"/>
      <c r="M262" s="180"/>
      <c r="N262" s="180"/>
      <c r="O262" s="180"/>
    </row>
    <row r="263" spans="2:15">
      <c r="B263" s="7">
        <v>260</v>
      </c>
      <c r="C263" s="178" t="s">
        <v>222</v>
      </c>
      <c r="D263" s="179" t="s">
        <v>223</v>
      </c>
      <c r="E263" s="180" t="s">
        <v>154</v>
      </c>
      <c r="F263" s="180" t="s">
        <v>154</v>
      </c>
      <c r="G263" s="180" t="s">
        <v>154</v>
      </c>
      <c r="H263" s="180" t="s">
        <v>154</v>
      </c>
      <c r="I263" s="180" t="s">
        <v>154</v>
      </c>
      <c r="J263" s="180"/>
      <c r="K263" s="180"/>
      <c r="L263" s="180"/>
      <c r="M263" s="180"/>
      <c r="N263" s="180"/>
      <c r="O263" s="180"/>
    </row>
    <row r="264" spans="2:15">
      <c r="B264" s="7">
        <v>261</v>
      </c>
      <c r="C264" s="178" t="s">
        <v>224</v>
      </c>
      <c r="D264" s="179" t="s">
        <v>225</v>
      </c>
      <c r="E264" s="180">
        <v>190.91840000000002</v>
      </c>
      <c r="F264" s="180">
        <v>178.48</v>
      </c>
      <c r="G264" s="180">
        <v>292.42</v>
      </c>
      <c r="H264" s="180">
        <v>339.23</v>
      </c>
      <c r="I264" s="180">
        <v>174.87</v>
      </c>
      <c r="J264" s="180"/>
      <c r="K264" s="180"/>
      <c r="L264" s="180"/>
      <c r="M264" s="180"/>
      <c r="N264" s="180"/>
      <c r="O264" s="180"/>
    </row>
    <row r="265" spans="2:15">
      <c r="B265" s="7">
        <v>262</v>
      </c>
      <c r="C265" s="178" t="s">
        <v>226</v>
      </c>
      <c r="D265" s="179" t="s">
        <v>227</v>
      </c>
      <c r="E265" s="180">
        <v>12614.3408</v>
      </c>
      <c r="F265" s="180">
        <v>8138.38</v>
      </c>
      <c r="G265" s="180">
        <v>14155.73</v>
      </c>
      <c r="H265" s="180">
        <v>18879.650000000001</v>
      </c>
      <c r="I265" s="180">
        <v>13238.71</v>
      </c>
      <c r="J265" s="180"/>
      <c r="K265" s="180"/>
      <c r="L265" s="180"/>
      <c r="M265" s="180"/>
      <c r="N265" s="180"/>
      <c r="O265" s="180"/>
    </row>
    <row r="266" spans="2:15">
      <c r="B266" s="7">
        <v>263</v>
      </c>
      <c r="C266" s="178" t="s">
        <v>228</v>
      </c>
      <c r="D266" s="179" t="s">
        <v>229</v>
      </c>
      <c r="E266" s="180">
        <v>1826249.8694</v>
      </c>
      <c r="F266" s="180">
        <v>1096368.24</v>
      </c>
      <c r="G266" s="180">
        <v>2095085.52</v>
      </c>
      <c r="H266" s="180">
        <v>3174845.19</v>
      </c>
      <c r="I266" s="180">
        <v>1978942.38</v>
      </c>
      <c r="J266" s="180"/>
      <c r="K266" s="180"/>
      <c r="L266" s="180"/>
      <c r="M266" s="180"/>
      <c r="N266" s="180"/>
      <c r="O266" s="180"/>
    </row>
    <row r="267" spans="2:15">
      <c r="B267" s="7">
        <v>264</v>
      </c>
      <c r="C267" s="178" t="s">
        <v>230</v>
      </c>
      <c r="D267" s="179" t="s">
        <v>231</v>
      </c>
      <c r="E267" s="180">
        <v>4425.340799999999</v>
      </c>
      <c r="F267" s="180">
        <v>2525.66</v>
      </c>
      <c r="G267" s="180">
        <v>4146.62</v>
      </c>
      <c r="H267" s="180">
        <v>6957.68</v>
      </c>
      <c r="I267" s="180">
        <v>3435.76</v>
      </c>
      <c r="J267" s="180"/>
      <c r="K267" s="180"/>
      <c r="L267" s="180"/>
      <c r="M267" s="180"/>
      <c r="N267" s="180"/>
      <c r="O267" s="180"/>
    </row>
    <row r="268" spans="2:15">
      <c r="B268" s="7">
        <v>265</v>
      </c>
      <c r="C268" s="178" t="s">
        <v>232</v>
      </c>
      <c r="D268" s="179" t="s">
        <v>233</v>
      </c>
      <c r="E268" s="180">
        <v>672556.58840000001</v>
      </c>
      <c r="F268" s="180">
        <v>688756.44</v>
      </c>
      <c r="G268" s="180">
        <v>988673.67</v>
      </c>
      <c r="H268" s="180">
        <v>964618.93</v>
      </c>
      <c r="I268" s="180">
        <v>766441.54</v>
      </c>
      <c r="J268" s="180"/>
      <c r="K268" s="180"/>
      <c r="L268" s="180"/>
      <c r="M268" s="180"/>
      <c r="N268" s="180"/>
      <c r="O268" s="180"/>
    </row>
    <row r="269" spans="2:15">
      <c r="B269" s="7">
        <v>266</v>
      </c>
      <c r="C269" s="178" t="s">
        <v>178</v>
      </c>
      <c r="D269" s="179" t="s">
        <v>179</v>
      </c>
      <c r="E269" s="180" t="s">
        <v>154</v>
      </c>
      <c r="F269" s="180" t="s">
        <v>154</v>
      </c>
      <c r="G269" s="180" t="s">
        <v>154</v>
      </c>
      <c r="H269" s="180" t="s">
        <v>154</v>
      </c>
      <c r="I269" s="180" t="s">
        <v>154</v>
      </c>
      <c r="J269" s="180"/>
      <c r="K269" s="180"/>
      <c r="L269" s="180"/>
      <c r="M269" s="180"/>
      <c r="N269" s="180"/>
      <c r="O269" s="180"/>
    </row>
    <row r="270" spans="2:15" ht="15">
      <c r="B270" s="7">
        <v>267</v>
      </c>
      <c r="C270" s="146" t="s">
        <v>164</v>
      </c>
      <c r="D270" s="146"/>
      <c r="E270" s="147"/>
      <c r="F270" s="147"/>
      <c r="G270" s="147"/>
      <c r="H270" s="147"/>
      <c r="I270" s="147"/>
      <c r="J270" s="146"/>
      <c r="K270" s="146"/>
      <c r="L270" s="146"/>
      <c r="M270" s="146"/>
      <c r="N270" s="146"/>
      <c r="O270" s="146"/>
    </row>
    <row r="271" spans="2:15" ht="12.6">
      <c r="B271" s="7">
        <v>268</v>
      </c>
      <c r="C271" s="145"/>
      <c r="D271" s="145"/>
      <c r="E271" s="145"/>
      <c r="F271" s="145"/>
      <c r="G271" s="145"/>
      <c r="H271" s="145"/>
      <c r="I271" s="145"/>
      <c r="J271" s="145"/>
      <c r="K271" s="145"/>
      <c r="L271" s="145"/>
      <c r="M271" s="145"/>
      <c r="N271" s="145"/>
      <c r="O271" s="145"/>
    </row>
    <row r="272" spans="2:15" ht="24">
      <c r="B272" s="7">
        <v>269</v>
      </c>
      <c r="C272" s="212"/>
      <c r="D272" s="213" t="s">
        <v>177</v>
      </c>
      <c r="E272" s="214" t="s">
        <v>154</v>
      </c>
      <c r="F272" s="214" t="s">
        <v>154</v>
      </c>
      <c r="G272" s="214" t="s">
        <v>154</v>
      </c>
      <c r="H272" s="214" t="s">
        <v>154</v>
      </c>
      <c r="I272" s="214" t="s">
        <v>154</v>
      </c>
      <c r="J272" s="214"/>
      <c r="K272" s="214"/>
      <c r="L272" s="214"/>
      <c r="M272" s="214"/>
      <c r="N272" s="214"/>
      <c r="O272" s="214"/>
    </row>
    <row r="273" spans="2:15" ht="22.8">
      <c r="B273" s="7">
        <v>270</v>
      </c>
      <c r="C273" s="178" t="s">
        <v>180</v>
      </c>
      <c r="D273" s="179" t="s">
        <v>181</v>
      </c>
      <c r="E273" s="180" t="s">
        <v>154</v>
      </c>
      <c r="F273" s="180" t="s">
        <v>154</v>
      </c>
      <c r="G273" s="180" t="s">
        <v>154</v>
      </c>
      <c r="H273" s="180" t="s">
        <v>154</v>
      </c>
      <c r="I273" s="180" t="s">
        <v>154</v>
      </c>
      <c r="J273" s="180"/>
      <c r="K273" s="180"/>
      <c r="L273" s="180"/>
      <c r="M273" s="180"/>
      <c r="N273" s="180"/>
      <c r="O273" s="180"/>
    </row>
    <row r="274" spans="2:15">
      <c r="B274" s="7">
        <v>271</v>
      </c>
      <c r="C274" s="178" t="s">
        <v>182</v>
      </c>
      <c r="D274" s="179" t="s">
        <v>183</v>
      </c>
      <c r="E274" s="180">
        <v>162212.98319999999</v>
      </c>
      <c r="F274" s="180">
        <v>96159.21</v>
      </c>
      <c r="G274" s="180">
        <v>197208.77</v>
      </c>
      <c r="H274" s="180">
        <v>269890.74</v>
      </c>
      <c r="I274" s="180">
        <v>123321.93</v>
      </c>
      <c r="J274" s="180"/>
      <c r="K274" s="180"/>
      <c r="L274" s="180"/>
      <c r="M274" s="180"/>
      <c r="N274" s="180"/>
      <c r="O274" s="180"/>
    </row>
    <row r="275" spans="2:15">
      <c r="B275" s="7">
        <v>272</v>
      </c>
      <c r="C275" s="178" t="s">
        <v>184</v>
      </c>
      <c r="D275" s="179" t="s">
        <v>185</v>
      </c>
      <c r="E275" s="180">
        <v>3245.4012000000002</v>
      </c>
      <c r="F275" s="180">
        <v>1887.93</v>
      </c>
      <c r="G275" s="180">
        <v>2722</v>
      </c>
      <c r="H275" s="180">
        <v>3755.57</v>
      </c>
      <c r="I275" s="180">
        <v>2230.86</v>
      </c>
      <c r="J275" s="180"/>
      <c r="K275" s="180"/>
      <c r="L275" s="180"/>
      <c r="M275" s="180"/>
      <c r="N275" s="180"/>
      <c r="O275" s="180"/>
    </row>
    <row r="276" spans="2:15">
      <c r="B276" s="7">
        <v>273</v>
      </c>
      <c r="C276" s="178" t="s">
        <v>186</v>
      </c>
      <c r="D276" s="179" t="s">
        <v>187</v>
      </c>
      <c r="E276" s="180">
        <v>520.04899999999998</v>
      </c>
      <c r="F276" s="180">
        <v>267.60000000000002</v>
      </c>
      <c r="G276" s="180">
        <v>471.2</v>
      </c>
      <c r="H276" s="180">
        <v>616.44000000000005</v>
      </c>
      <c r="I276" s="180">
        <v>355.29</v>
      </c>
      <c r="J276" s="180"/>
      <c r="K276" s="180"/>
      <c r="L276" s="180"/>
      <c r="M276" s="180"/>
      <c r="N276" s="180"/>
      <c r="O276" s="180"/>
    </row>
    <row r="277" spans="2:15">
      <c r="B277" s="7">
        <v>274</v>
      </c>
      <c r="C277" s="178" t="s">
        <v>188</v>
      </c>
      <c r="D277" s="179" t="s">
        <v>189</v>
      </c>
      <c r="E277" s="180">
        <v>221.15879999999999</v>
      </c>
      <c r="F277" s="180">
        <v>203.05</v>
      </c>
      <c r="G277" s="180">
        <v>243.97</v>
      </c>
      <c r="H277" s="180">
        <v>353.79</v>
      </c>
      <c r="I277" s="180">
        <v>221.92</v>
      </c>
      <c r="J277" s="180"/>
      <c r="K277" s="180"/>
      <c r="L277" s="180"/>
      <c r="M277" s="180"/>
      <c r="N277" s="180"/>
      <c r="O277" s="180"/>
    </row>
    <row r="278" spans="2:15">
      <c r="B278" s="7">
        <v>275</v>
      </c>
      <c r="C278" s="178" t="s">
        <v>190</v>
      </c>
      <c r="D278" s="179" t="s">
        <v>191</v>
      </c>
      <c r="E278" s="180">
        <v>154.34879999999998</v>
      </c>
      <c r="F278" s="180">
        <v>112</v>
      </c>
      <c r="G278" s="180">
        <v>197.23</v>
      </c>
      <c r="H278" s="180">
        <v>235.03</v>
      </c>
      <c r="I278" s="180">
        <v>145.43</v>
      </c>
      <c r="J278" s="180"/>
      <c r="K278" s="180"/>
      <c r="L278" s="180"/>
      <c r="M278" s="180"/>
      <c r="N278" s="180"/>
      <c r="O278" s="180"/>
    </row>
    <row r="279" spans="2:15">
      <c r="B279" s="7">
        <v>276</v>
      </c>
      <c r="C279" s="178" t="s">
        <v>192</v>
      </c>
      <c r="D279" s="179" t="s">
        <v>193</v>
      </c>
      <c r="E279" s="180" t="s">
        <v>154</v>
      </c>
      <c r="F279" s="180" t="s">
        <v>154</v>
      </c>
      <c r="G279" s="180" t="s">
        <v>154</v>
      </c>
      <c r="H279" s="180" t="s">
        <v>154</v>
      </c>
      <c r="I279" s="180" t="s">
        <v>154</v>
      </c>
      <c r="J279" s="180"/>
      <c r="K279" s="180"/>
      <c r="L279" s="180"/>
      <c r="M279" s="180"/>
      <c r="N279" s="180"/>
      <c r="O279" s="180"/>
    </row>
    <row r="280" spans="2:15">
      <c r="B280" s="7">
        <v>277</v>
      </c>
      <c r="C280" s="178" t="s">
        <v>194</v>
      </c>
      <c r="D280" s="179" t="s">
        <v>195</v>
      </c>
      <c r="E280" s="180">
        <v>838839.64230000007</v>
      </c>
      <c r="F280" s="180">
        <v>588904.9</v>
      </c>
      <c r="G280" s="180">
        <v>1059540.18</v>
      </c>
      <c r="H280" s="180">
        <v>1258699.1200000001</v>
      </c>
      <c r="I280" s="180">
        <v>796531.45</v>
      </c>
      <c r="J280" s="180"/>
      <c r="K280" s="180"/>
      <c r="L280" s="180"/>
      <c r="M280" s="180"/>
      <c r="N280" s="180"/>
      <c r="O280" s="180"/>
    </row>
    <row r="281" spans="2:15">
      <c r="B281" s="7">
        <v>278</v>
      </c>
      <c r="C281" s="178" t="s">
        <v>196</v>
      </c>
      <c r="D281" s="179" t="s">
        <v>197</v>
      </c>
      <c r="E281" s="180">
        <v>389308.62339999998</v>
      </c>
      <c r="F281" s="180">
        <v>198935.21</v>
      </c>
      <c r="G281" s="180">
        <v>392073.87</v>
      </c>
      <c r="H281" s="180">
        <v>517739.17</v>
      </c>
      <c r="I281" s="180">
        <v>274319.53999999998</v>
      </c>
      <c r="J281" s="180"/>
      <c r="K281" s="180"/>
      <c r="L281" s="180"/>
      <c r="M281" s="180"/>
      <c r="N281" s="180"/>
      <c r="O281" s="180"/>
    </row>
    <row r="282" spans="2:15">
      <c r="B282" s="7">
        <v>279</v>
      </c>
      <c r="C282" s="178" t="s">
        <v>198</v>
      </c>
      <c r="D282" s="179" t="s">
        <v>199</v>
      </c>
      <c r="E282" s="180">
        <v>147039.90160000001</v>
      </c>
      <c r="F282" s="180">
        <v>91366.69</v>
      </c>
      <c r="G282" s="180">
        <v>145858.47</v>
      </c>
      <c r="H282" s="180">
        <v>173995.04</v>
      </c>
      <c r="I282" s="180">
        <v>132692.91</v>
      </c>
      <c r="J282" s="180"/>
      <c r="K282" s="180"/>
      <c r="L282" s="180"/>
      <c r="M282" s="180"/>
      <c r="N282" s="180"/>
      <c r="O282" s="180"/>
    </row>
    <row r="283" spans="2:15">
      <c r="B283" s="7">
        <v>280</v>
      </c>
      <c r="C283" s="178" t="s">
        <v>200</v>
      </c>
      <c r="D283" s="179" t="s">
        <v>201</v>
      </c>
      <c r="E283" s="180" t="s">
        <v>154</v>
      </c>
      <c r="F283" s="180" t="s">
        <v>154</v>
      </c>
      <c r="G283" s="180" t="s">
        <v>154</v>
      </c>
      <c r="H283" s="180" t="s">
        <v>154</v>
      </c>
      <c r="I283" s="180" t="s">
        <v>154</v>
      </c>
      <c r="J283" s="180"/>
      <c r="K283" s="180"/>
      <c r="L283" s="180"/>
      <c r="M283" s="180"/>
      <c r="N283" s="180"/>
      <c r="O283" s="180"/>
    </row>
    <row r="284" spans="2:15">
      <c r="B284" s="7">
        <v>281</v>
      </c>
      <c r="C284" s="178" t="s">
        <v>202</v>
      </c>
      <c r="D284" s="179" t="s">
        <v>203</v>
      </c>
      <c r="E284" s="180" t="s">
        <v>154</v>
      </c>
      <c r="F284" s="180" t="s">
        <v>154</v>
      </c>
      <c r="G284" s="180" t="s">
        <v>154</v>
      </c>
      <c r="H284" s="180" t="s">
        <v>154</v>
      </c>
      <c r="I284" s="180" t="s">
        <v>154</v>
      </c>
      <c r="J284" s="180"/>
      <c r="K284" s="180"/>
      <c r="L284" s="180"/>
      <c r="M284" s="180"/>
      <c r="N284" s="180"/>
      <c r="O284" s="180"/>
    </row>
    <row r="285" spans="2:15">
      <c r="B285" s="7">
        <v>282</v>
      </c>
      <c r="C285" s="178" t="s">
        <v>204</v>
      </c>
      <c r="D285" s="179" t="s">
        <v>205</v>
      </c>
      <c r="E285" s="180">
        <v>2413.1424000000002</v>
      </c>
      <c r="F285" s="180">
        <v>1380.7</v>
      </c>
      <c r="G285" s="180">
        <v>1860.85</v>
      </c>
      <c r="H285" s="180">
        <v>3279.05</v>
      </c>
      <c r="I285" s="180">
        <v>1936.27</v>
      </c>
      <c r="J285" s="180"/>
      <c r="K285" s="180"/>
      <c r="L285" s="180"/>
      <c r="M285" s="180"/>
      <c r="N285" s="180"/>
      <c r="O285" s="180"/>
    </row>
    <row r="286" spans="2:15">
      <c r="B286" s="7">
        <v>283</v>
      </c>
      <c r="C286" s="178" t="s">
        <v>206</v>
      </c>
      <c r="D286" s="179" t="s">
        <v>207</v>
      </c>
      <c r="E286" s="180" t="s">
        <v>154</v>
      </c>
      <c r="F286" s="180" t="s">
        <v>154</v>
      </c>
      <c r="G286" s="180" t="s">
        <v>154</v>
      </c>
      <c r="H286" s="180" t="s">
        <v>154</v>
      </c>
      <c r="I286" s="180" t="s">
        <v>154</v>
      </c>
      <c r="J286" s="180"/>
      <c r="K286" s="180"/>
      <c r="L286" s="180"/>
      <c r="M286" s="180"/>
      <c r="N286" s="180"/>
      <c r="O286" s="180"/>
    </row>
    <row r="287" spans="2:15" ht="22.8">
      <c r="B287" s="7">
        <v>284</v>
      </c>
      <c r="C287" s="178" t="s">
        <v>208</v>
      </c>
      <c r="D287" s="179" t="s">
        <v>209</v>
      </c>
      <c r="E287" s="180" t="s">
        <v>154</v>
      </c>
      <c r="F287" s="180" t="s">
        <v>154</v>
      </c>
      <c r="G287" s="180" t="s">
        <v>154</v>
      </c>
      <c r="H287" s="180" t="s">
        <v>154</v>
      </c>
      <c r="I287" s="180" t="s">
        <v>154</v>
      </c>
      <c r="J287" s="180"/>
      <c r="K287" s="180"/>
      <c r="L287" s="180"/>
      <c r="M287" s="180"/>
      <c r="N287" s="180"/>
      <c r="O287" s="180"/>
    </row>
    <row r="288" spans="2:15" ht="22.8">
      <c r="B288" s="7">
        <v>285</v>
      </c>
      <c r="C288" s="178" t="s">
        <v>210</v>
      </c>
      <c r="D288" s="179" t="s">
        <v>211</v>
      </c>
      <c r="E288" s="180">
        <v>3079.1673999999998</v>
      </c>
      <c r="F288" s="180">
        <v>1665.29</v>
      </c>
      <c r="G288" s="180">
        <v>3564.57</v>
      </c>
      <c r="H288" s="180">
        <v>4946.76</v>
      </c>
      <c r="I288" s="180">
        <v>2953.5</v>
      </c>
      <c r="J288" s="180"/>
      <c r="K288" s="180"/>
      <c r="L288" s="180"/>
      <c r="M288" s="180"/>
      <c r="N288" s="180"/>
      <c r="O288" s="180"/>
    </row>
    <row r="289" spans="2:15">
      <c r="B289" s="7">
        <v>286</v>
      </c>
    </row>
    <row r="290" spans="2:15">
      <c r="B290" s="7">
        <v>287</v>
      </c>
    </row>
    <row r="291" spans="2:15">
      <c r="B291" s="7">
        <v>288</v>
      </c>
    </row>
    <row r="292" spans="2:15">
      <c r="B292" s="7">
        <v>289</v>
      </c>
    </row>
    <row r="293" spans="2:15">
      <c r="B293" s="7">
        <v>290</v>
      </c>
      <c r="D293" s="156" t="s">
        <v>218</v>
      </c>
      <c r="E293" s="156">
        <v>0.23</v>
      </c>
      <c r="F293" s="156">
        <v>3.3</v>
      </c>
      <c r="G293" s="156">
        <v>4.75</v>
      </c>
      <c r="H293" s="157"/>
      <c r="I293" s="157"/>
      <c r="J293" s="157"/>
      <c r="K293" s="157"/>
      <c r="L293" s="156"/>
      <c r="M293" s="156"/>
      <c r="N293" s="156"/>
      <c r="O293" s="156"/>
    </row>
    <row r="294" spans="2:15">
      <c r="B294" s="7">
        <v>291</v>
      </c>
    </row>
    <row r="295" spans="2:15">
      <c r="B295" s="7">
        <v>292</v>
      </c>
    </row>
    <row r="296" spans="2:15">
      <c r="B296" s="7">
        <v>293</v>
      </c>
    </row>
    <row r="297" spans="2:15">
      <c r="B297" s="7">
        <v>294</v>
      </c>
    </row>
    <row r="298" spans="2:15">
      <c r="B298" s="7">
        <v>295</v>
      </c>
    </row>
  </sheetData>
  <phoneticPr fontId="4" type="noConversion"/>
  <hyperlinks>
    <hyperlink ref="A2" location="'Fiche de contenu détaillée'!C12" display="Retour Fiche" xr:uid="{3193FE83-B36C-4692-B045-6E0FA31C9B73}"/>
  </hyperlinks>
  <pageMargins left="0.7" right="0.7" top="0.75" bottom="0.75" header="0.3" footer="0.3"/>
  <pageSetup paperSize="9" scale="36"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9D0FA-BB56-434E-98A9-E1AD600E53BB}">
  <sheetPr>
    <pageSetUpPr fitToPage="1"/>
  </sheetPr>
  <dimension ref="A2:Q298"/>
  <sheetViews>
    <sheetView showGridLines="0" topLeftCell="B267" zoomScaleNormal="100" workbookViewId="0">
      <selection activeCell="O288" sqref="C149:O288"/>
    </sheetView>
  </sheetViews>
  <sheetFormatPr baseColWidth="10" defaultColWidth="10.36328125" defaultRowHeight="11.4"/>
  <cols>
    <col min="1" max="1" width="33.453125" style="3" bestFit="1" customWidth="1"/>
    <col min="2" max="2" width="3.54296875" style="2" bestFit="1" customWidth="1"/>
    <col min="3" max="3" width="7.54296875" style="2" customWidth="1"/>
    <col min="4" max="4" width="49.08984375" style="3" customWidth="1"/>
    <col min="5" max="5" width="12.453125" style="3" bestFit="1" customWidth="1"/>
    <col min="6" max="11" width="11.08984375" style="4" customWidth="1"/>
    <col min="12" max="13" width="11.6328125" style="3" bestFit="1" customWidth="1"/>
    <col min="14" max="14" width="11.6328125" style="3" customWidth="1"/>
    <col min="15" max="15" width="12.90625" style="3" customWidth="1"/>
    <col min="16" max="16384" width="10.36328125" style="3"/>
  </cols>
  <sheetData>
    <row r="2" spans="1:15" ht="12.6">
      <c r="A2" s="1" t="s">
        <v>28</v>
      </c>
    </row>
    <row r="3" spans="1:15" s="79" customFormat="1">
      <c r="B3" s="2"/>
      <c r="C3" s="2"/>
      <c r="E3" s="10"/>
      <c r="F3" s="10"/>
      <c r="G3" s="10"/>
      <c r="H3" s="10"/>
      <c r="I3" s="10"/>
      <c r="J3" s="10"/>
      <c r="K3" s="10"/>
      <c r="L3" s="10"/>
      <c r="M3" s="10"/>
      <c r="N3" s="10"/>
      <c r="O3" s="5"/>
    </row>
    <row r="4" spans="1:15" s="79" customFormat="1" ht="22.8">
      <c r="A4" s="6" t="s">
        <v>29</v>
      </c>
      <c r="B4" s="7">
        <v>1</v>
      </c>
      <c r="C4" s="7"/>
      <c r="D4" s="8"/>
      <c r="E4" s="178" t="s">
        <v>286</v>
      </c>
      <c r="F4" s="178" t="s">
        <v>287</v>
      </c>
      <c r="G4" s="178" t="s">
        <v>288</v>
      </c>
      <c r="H4" s="178" t="s">
        <v>289</v>
      </c>
      <c r="I4" s="178" t="s">
        <v>290</v>
      </c>
      <c r="J4" s="82" t="s">
        <v>94</v>
      </c>
      <c r="K4" s="82" t="s">
        <v>94</v>
      </c>
      <c r="L4" s="82" t="s">
        <v>94</v>
      </c>
      <c r="M4" s="82" t="s">
        <v>94</v>
      </c>
      <c r="N4" s="82"/>
      <c r="O4" s="5" t="s">
        <v>104</v>
      </c>
    </row>
    <row r="5" spans="1:15" s="79" customFormat="1">
      <c r="A5" s="6"/>
      <c r="B5" s="7">
        <v>2</v>
      </c>
      <c r="C5" s="148"/>
      <c r="D5" s="149" t="s">
        <v>174</v>
      </c>
      <c r="E5" s="178" t="s">
        <v>176</v>
      </c>
      <c r="F5" s="178" t="s">
        <v>176</v>
      </c>
      <c r="G5" s="178" t="s">
        <v>176</v>
      </c>
      <c r="H5" s="178" t="s">
        <v>176</v>
      </c>
      <c r="I5" s="178" t="s">
        <v>176</v>
      </c>
      <c r="J5" s="82"/>
      <c r="K5" s="82"/>
      <c r="L5" s="82"/>
      <c r="M5" s="82"/>
      <c r="N5" s="82"/>
      <c r="O5" s="5"/>
    </row>
    <row r="6" spans="1:15" s="79" customFormat="1">
      <c r="A6" s="6"/>
      <c r="B6" s="7">
        <v>3</v>
      </c>
      <c r="C6" s="148"/>
      <c r="D6" s="149" t="s">
        <v>175</v>
      </c>
      <c r="E6" s="178" t="s">
        <v>291</v>
      </c>
      <c r="F6" s="178" t="s">
        <v>291</v>
      </c>
      <c r="G6" s="178" t="s">
        <v>291</v>
      </c>
      <c r="H6" s="178" t="s">
        <v>291</v>
      </c>
      <c r="I6" s="178" t="s">
        <v>291</v>
      </c>
      <c r="J6" s="82"/>
      <c r="K6" s="82"/>
      <c r="L6" s="82"/>
      <c r="M6" s="82"/>
      <c r="N6" s="82"/>
      <c r="O6" s="5"/>
    </row>
    <row r="7" spans="1:15" s="79" customFormat="1" ht="16.2">
      <c r="A7" s="6"/>
      <c r="B7" s="7">
        <v>4</v>
      </c>
      <c r="C7" s="7"/>
      <c r="D7" s="8"/>
      <c r="E7" s="82"/>
      <c r="F7" s="82"/>
      <c r="G7" s="82"/>
      <c r="H7" s="82"/>
      <c r="I7" s="82"/>
      <c r="J7" s="82"/>
      <c r="K7" s="82"/>
      <c r="L7" s="82"/>
      <c r="M7" s="82"/>
      <c r="N7" s="82"/>
      <c r="O7" s="5"/>
    </row>
    <row r="8" spans="1:15" ht="12">
      <c r="A8" s="9"/>
      <c r="B8" s="7">
        <v>5</v>
      </c>
      <c r="C8" s="172"/>
      <c r="D8" s="173" t="s">
        <v>155</v>
      </c>
      <c r="E8" s="174">
        <v>3936237.61</v>
      </c>
      <c r="F8" s="174">
        <v>2548691.3199999998</v>
      </c>
      <c r="G8" s="174">
        <v>4242696.38</v>
      </c>
      <c r="H8" s="174">
        <v>5907925.79</v>
      </c>
      <c r="I8" s="174">
        <v>3837035.38</v>
      </c>
      <c r="J8" s="174"/>
      <c r="K8" s="174"/>
      <c r="L8" s="174"/>
      <c r="M8" s="174"/>
      <c r="N8" s="174"/>
      <c r="O8" s="174"/>
    </row>
    <row r="9" spans="1:15" ht="12">
      <c r="A9" s="9"/>
      <c r="B9" s="7">
        <v>6</v>
      </c>
      <c r="C9" s="175"/>
      <c r="D9" s="176" t="s">
        <v>30</v>
      </c>
      <c r="E9" s="177">
        <v>1239787.25</v>
      </c>
      <c r="F9" s="177">
        <v>750872.99</v>
      </c>
      <c r="G9" s="177">
        <v>1136965.74</v>
      </c>
      <c r="H9" s="177">
        <v>1737776.93</v>
      </c>
      <c r="I9" s="177">
        <v>1071648.0900000001</v>
      </c>
      <c r="J9" s="177"/>
      <c r="K9" s="177"/>
      <c r="L9" s="177"/>
      <c r="M9" s="177"/>
      <c r="N9" s="177"/>
      <c r="O9" s="177"/>
    </row>
    <row r="10" spans="1:15">
      <c r="A10" s="9"/>
      <c r="B10" s="7">
        <v>7</v>
      </c>
      <c r="C10" s="178"/>
      <c r="D10" s="179" t="s">
        <v>31</v>
      </c>
      <c r="E10" s="180">
        <v>1574.88</v>
      </c>
      <c r="F10" s="180">
        <v>787.1</v>
      </c>
      <c r="G10" s="180">
        <v>1587.96</v>
      </c>
      <c r="H10" s="180">
        <v>1505.87</v>
      </c>
      <c r="I10" s="180">
        <v>1139.53</v>
      </c>
      <c r="J10" s="180"/>
      <c r="K10" s="180"/>
      <c r="L10" s="180"/>
      <c r="M10" s="180"/>
      <c r="N10" s="180"/>
      <c r="O10" s="180"/>
    </row>
    <row r="11" spans="1:15" ht="25.8" customHeight="1">
      <c r="A11" s="9"/>
      <c r="B11" s="7">
        <v>8</v>
      </c>
      <c r="C11" s="178"/>
      <c r="D11" s="179" t="s">
        <v>130</v>
      </c>
      <c r="E11" s="180">
        <v>870059.51</v>
      </c>
      <c r="F11" s="180">
        <v>486617.52</v>
      </c>
      <c r="G11" s="180">
        <v>688022.67</v>
      </c>
      <c r="H11" s="180">
        <v>1181004.6499999999</v>
      </c>
      <c r="I11" s="180">
        <v>748633.81</v>
      </c>
      <c r="J11" s="180"/>
      <c r="K11" s="180"/>
      <c r="L11" s="180"/>
      <c r="M11" s="180"/>
      <c r="N11" s="180"/>
      <c r="O11" s="180"/>
    </row>
    <row r="12" spans="1:15">
      <c r="A12" s="9"/>
      <c r="B12" s="7">
        <v>9</v>
      </c>
      <c r="C12" s="178"/>
      <c r="D12" s="179" t="s">
        <v>32</v>
      </c>
      <c r="E12" s="180">
        <v>168525.5</v>
      </c>
      <c r="F12" s="180">
        <v>95313.19</v>
      </c>
      <c r="G12" s="180">
        <v>188492.52</v>
      </c>
      <c r="H12" s="180">
        <v>244142.68</v>
      </c>
      <c r="I12" s="180">
        <v>126711.67999999999</v>
      </c>
      <c r="J12" s="180"/>
      <c r="K12" s="180"/>
      <c r="L12" s="180"/>
      <c r="M12" s="180"/>
      <c r="N12" s="180"/>
      <c r="O12" s="180"/>
    </row>
    <row r="13" spans="1:15">
      <c r="A13" s="9"/>
      <c r="B13" s="7">
        <v>10</v>
      </c>
      <c r="C13" s="178"/>
      <c r="D13" s="179" t="s">
        <v>131</v>
      </c>
      <c r="E13" s="180">
        <v>199627.36</v>
      </c>
      <c r="F13" s="180">
        <v>168155.18</v>
      </c>
      <c r="G13" s="180">
        <v>258862.59</v>
      </c>
      <c r="H13" s="180">
        <v>311123.73</v>
      </c>
      <c r="I13" s="180">
        <v>195163.07</v>
      </c>
      <c r="J13" s="180"/>
      <c r="K13" s="180"/>
      <c r="L13" s="180"/>
      <c r="M13" s="180"/>
      <c r="N13" s="180"/>
      <c r="O13" s="180"/>
    </row>
    <row r="14" spans="1:15" ht="12">
      <c r="A14" s="9"/>
      <c r="B14" s="7">
        <v>11</v>
      </c>
      <c r="C14" s="175"/>
      <c r="D14" s="176" t="s">
        <v>132</v>
      </c>
      <c r="E14" s="177">
        <v>0</v>
      </c>
      <c r="F14" s="177">
        <v>0</v>
      </c>
      <c r="G14" s="177">
        <v>0</v>
      </c>
      <c r="H14" s="177">
        <v>0</v>
      </c>
      <c r="I14" s="177">
        <v>0</v>
      </c>
      <c r="J14" s="177"/>
      <c r="K14" s="177"/>
      <c r="L14" s="177"/>
      <c r="M14" s="177"/>
      <c r="N14" s="177"/>
      <c r="O14" s="177"/>
    </row>
    <row r="15" spans="1:15">
      <c r="A15" s="9"/>
      <c r="B15" s="7">
        <v>12</v>
      </c>
      <c r="C15" s="178"/>
      <c r="D15" s="179" t="s">
        <v>133</v>
      </c>
      <c r="E15" s="180">
        <v>0</v>
      </c>
      <c r="F15" s="180">
        <v>0</v>
      </c>
      <c r="G15" s="180">
        <v>0</v>
      </c>
      <c r="H15" s="180">
        <v>0</v>
      </c>
      <c r="I15" s="180">
        <v>0</v>
      </c>
      <c r="J15" s="180"/>
      <c r="K15" s="180"/>
      <c r="L15" s="180"/>
      <c r="M15" s="180"/>
      <c r="N15" s="180"/>
      <c r="O15" s="180"/>
    </row>
    <row r="16" spans="1:15">
      <c r="A16" s="9"/>
      <c r="B16" s="7">
        <v>13</v>
      </c>
      <c r="C16" s="178"/>
      <c r="D16" s="179" t="s">
        <v>134</v>
      </c>
      <c r="E16" s="180">
        <v>0</v>
      </c>
      <c r="F16" s="180">
        <v>0</v>
      </c>
      <c r="G16" s="180">
        <v>0</v>
      </c>
      <c r="H16" s="180">
        <v>0</v>
      </c>
      <c r="I16" s="180">
        <v>0</v>
      </c>
      <c r="J16" s="180"/>
      <c r="K16" s="180"/>
      <c r="L16" s="180"/>
      <c r="M16" s="180"/>
      <c r="N16" s="180"/>
      <c r="O16" s="180"/>
    </row>
    <row r="17" spans="1:15" ht="12">
      <c r="A17" s="9"/>
      <c r="B17" s="7">
        <v>14</v>
      </c>
      <c r="C17" s="175"/>
      <c r="D17" s="176" t="s">
        <v>33</v>
      </c>
      <c r="E17" s="177">
        <v>2696450.36</v>
      </c>
      <c r="F17" s="177">
        <v>1797818.33</v>
      </c>
      <c r="G17" s="177">
        <v>3105730.64</v>
      </c>
      <c r="H17" s="177">
        <v>4170148.86</v>
      </c>
      <c r="I17" s="177">
        <v>2765387.29</v>
      </c>
      <c r="J17" s="177"/>
      <c r="K17" s="177"/>
      <c r="L17" s="177"/>
      <c r="M17" s="177"/>
      <c r="N17" s="177"/>
      <c r="O17" s="177"/>
    </row>
    <row r="18" spans="1:15">
      <c r="A18" s="9"/>
      <c r="B18" s="7">
        <v>15</v>
      </c>
      <c r="C18" s="178"/>
      <c r="D18" s="179" t="s">
        <v>34</v>
      </c>
      <c r="E18" s="180">
        <v>4609.7299999999996</v>
      </c>
      <c r="F18" s="180">
        <v>2525.66</v>
      </c>
      <c r="G18" s="180">
        <v>4146.62</v>
      </c>
      <c r="H18" s="180">
        <v>6957.68</v>
      </c>
      <c r="I18" s="180">
        <v>3435.76</v>
      </c>
      <c r="J18" s="180"/>
      <c r="K18" s="180"/>
      <c r="L18" s="180"/>
      <c r="M18" s="180"/>
      <c r="N18" s="180"/>
      <c r="O18" s="180"/>
    </row>
    <row r="19" spans="1:15">
      <c r="A19" s="9"/>
      <c r="B19" s="7">
        <v>16</v>
      </c>
      <c r="C19" s="178"/>
      <c r="D19" s="179" t="s">
        <v>35</v>
      </c>
      <c r="E19" s="180">
        <v>736102.55</v>
      </c>
      <c r="F19" s="180">
        <v>691386.03</v>
      </c>
      <c r="G19" s="180">
        <v>993222.5</v>
      </c>
      <c r="H19" s="180">
        <v>970692.26</v>
      </c>
      <c r="I19" s="180">
        <v>770585.86</v>
      </c>
      <c r="J19" s="180"/>
      <c r="K19" s="180"/>
      <c r="L19" s="180"/>
      <c r="M19" s="180"/>
      <c r="N19" s="180"/>
      <c r="O19" s="180"/>
    </row>
    <row r="20" spans="1:15">
      <c r="A20" s="9"/>
      <c r="B20" s="7">
        <v>17</v>
      </c>
      <c r="C20" s="178"/>
      <c r="D20" s="179" t="s">
        <v>36</v>
      </c>
      <c r="E20" s="180">
        <v>13711.24</v>
      </c>
      <c r="F20" s="180">
        <v>8138.38</v>
      </c>
      <c r="G20" s="180">
        <v>14155.73</v>
      </c>
      <c r="H20" s="180">
        <v>18879.650000000001</v>
      </c>
      <c r="I20" s="180">
        <v>13238.71</v>
      </c>
      <c r="J20" s="180"/>
      <c r="K20" s="180"/>
      <c r="L20" s="180"/>
      <c r="M20" s="180"/>
      <c r="N20" s="180"/>
      <c r="O20" s="180"/>
    </row>
    <row r="21" spans="1:15">
      <c r="A21" s="9"/>
      <c r="B21" s="7">
        <v>18</v>
      </c>
      <c r="C21" s="178"/>
      <c r="D21" s="179" t="s">
        <v>37</v>
      </c>
      <c r="E21" s="180">
        <v>1942026.84</v>
      </c>
      <c r="F21" s="180">
        <v>1095768.26</v>
      </c>
      <c r="G21" s="180">
        <v>2094205.79</v>
      </c>
      <c r="H21" s="180">
        <v>3173619.27</v>
      </c>
      <c r="I21" s="180">
        <v>1978126.96</v>
      </c>
      <c r="J21" s="180"/>
      <c r="K21" s="180"/>
      <c r="L21" s="180"/>
      <c r="M21" s="180"/>
      <c r="N21" s="180"/>
      <c r="O21" s="180"/>
    </row>
    <row r="22" spans="1:15" ht="12">
      <c r="A22" s="9"/>
      <c r="B22" s="7">
        <v>19</v>
      </c>
      <c r="C22" s="175"/>
      <c r="D22" s="176" t="s">
        <v>135</v>
      </c>
      <c r="E22" s="177">
        <v>0</v>
      </c>
      <c r="F22" s="177">
        <v>0</v>
      </c>
      <c r="G22" s="177">
        <v>0</v>
      </c>
      <c r="H22" s="177">
        <v>0</v>
      </c>
      <c r="I22" s="177">
        <v>0</v>
      </c>
      <c r="J22" s="177"/>
      <c r="K22" s="177"/>
      <c r="L22" s="177"/>
      <c r="M22" s="177"/>
      <c r="N22" s="177"/>
      <c r="O22" s="177"/>
    </row>
    <row r="23" spans="1:15">
      <c r="A23" s="9"/>
      <c r="B23" s="7">
        <v>20</v>
      </c>
      <c r="C23" s="178"/>
      <c r="D23" s="179" t="s">
        <v>243</v>
      </c>
      <c r="E23" s="180">
        <v>0</v>
      </c>
      <c r="F23" s="180">
        <v>0</v>
      </c>
      <c r="G23" s="180">
        <v>0</v>
      </c>
      <c r="H23" s="180">
        <v>0</v>
      </c>
      <c r="I23" s="180">
        <v>0</v>
      </c>
      <c r="J23" s="180"/>
      <c r="K23" s="180"/>
      <c r="L23" s="180"/>
      <c r="M23" s="180"/>
      <c r="N23" s="180"/>
      <c r="O23" s="180"/>
    </row>
    <row r="24" spans="1:15">
      <c r="A24" s="9"/>
      <c r="B24" s="7">
        <v>21</v>
      </c>
      <c r="C24" s="178"/>
      <c r="D24" s="179" t="s">
        <v>136</v>
      </c>
      <c r="E24" s="180">
        <v>0</v>
      </c>
      <c r="F24" s="180">
        <v>0</v>
      </c>
      <c r="G24" s="180">
        <v>0</v>
      </c>
      <c r="H24" s="180">
        <v>0</v>
      </c>
      <c r="I24" s="180">
        <v>0</v>
      </c>
      <c r="J24" s="180"/>
      <c r="K24" s="180"/>
      <c r="L24" s="180"/>
      <c r="M24" s="180"/>
      <c r="N24" s="180"/>
      <c r="O24" s="180"/>
    </row>
    <row r="25" spans="1:15" ht="12">
      <c r="A25" s="9"/>
      <c r="B25" s="7">
        <v>22</v>
      </c>
      <c r="C25" s="172"/>
      <c r="D25" s="173" t="s">
        <v>38</v>
      </c>
      <c r="E25" s="174">
        <v>1248292.3500000001</v>
      </c>
      <c r="F25" s="174">
        <v>782168.03</v>
      </c>
      <c r="G25" s="174">
        <v>1411573.06</v>
      </c>
      <c r="H25" s="174">
        <v>1716320.46</v>
      </c>
      <c r="I25" s="174">
        <v>1061212.52</v>
      </c>
      <c r="J25" s="174"/>
      <c r="K25" s="174"/>
      <c r="L25" s="174"/>
      <c r="M25" s="174"/>
      <c r="N25" s="174"/>
      <c r="O25" s="174"/>
    </row>
    <row r="26" spans="1:15" ht="12">
      <c r="A26" s="9"/>
      <c r="B26" s="7">
        <v>23</v>
      </c>
      <c r="C26" s="172"/>
      <c r="D26" s="173" t="s">
        <v>156</v>
      </c>
      <c r="E26" s="174">
        <v>118803.03</v>
      </c>
      <c r="F26" s="174">
        <v>65033.22</v>
      </c>
      <c r="G26" s="174">
        <v>87342.18</v>
      </c>
      <c r="H26" s="174">
        <v>152540.70000000001</v>
      </c>
      <c r="I26" s="174">
        <v>80471.78</v>
      </c>
      <c r="J26" s="174"/>
      <c r="K26" s="174"/>
      <c r="L26" s="174"/>
      <c r="M26" s="174"/>
      <c r="N26" s="174"/>
      <c r="O26" s="174"/>
    </row>
    <row r="27" spans="1:15" ht="24">
      <c r="A27" s="9"/>
      <c r="B27" s="7">
        <v>24</v>
      </c>
      <c r="C27" s="172"/>
      <c r="D27" s="173" t="s">
        <v>39</v>
      </c>
      <c r="E27" s="174">
        <v>446998.84</v>
      </c>
      <c r="F27" s="174">
        <v>218922.01</v>
      </c>
      <c r="G27" s="174">
        <v>423371.42</v>
      </c>
      <c r="H27" s="174">
        <v>560201.15</v>
      </c>
      <c r="I27" s="174">
        <v>306321.64</v>
      </c>
      <c r="J27" s="174"/>
      <c r="K27" s="174"/>
      <c r="L27" s="174"/>
      <c r="M27" s="174"/>
      <c r="N27" s="174"/>
      <c r="O27" s="174"/>
    </row>
    <row r="28" spans="1:15" ht="12">
      <c r="A28" s="9"/>
      <c r="B28" s="7">
        <v>25</v>
      </c>
      <c r="C28" s="181" t="s">
        <v>158</v>
      </c>
      <c r="D28" s="182" t="s">
        <v>157</v>
      </c>
      <c r="E28" s="183">
        <v>5750331.8300000001</v>
      </c>
      <c r="F28" s="183">
        <v>3614814.58</v>
      </c>
      <c r="G28" s="183">
        <v>6164983.04</v>
      </c>
      <c r="H28" s="183">
        <v>8336988.0999999996</v>
      </c>
      <c r="I28" s="183">
        <v>5285041.32</v>
      </c>
      <c r="J28" s="183"/>
      <c r="K28" s="183"/>
      <c r="L28" s="183"/>
      <c r="M28" s="183"/>
      <c r="N28" s="183"/>
      <c r="O28" s="183"/>
    </row>
    <row r="29" spans="1:15">
      <c r="A29" s="9"/>
      <c r="B29" s="7">
        <v>26</v>
      </c>
      <c r="C29" s="178"/>
      <c r="D29" s="179" t="s">
        <v>137</v>
      </c>
      <c r="E29" s="180">
        <v>1.1100000000000001</v>
      </c>
      <c r="F29" s="180">
        <v>0.71</v>
      </c>
      <c r="G29" s="180">
        <v>0.92</v>
      </c>
      <c r="H29" s="180">
        <v>1.62</v>
      </c>
      <c r="I29" s="180">
        <v>0.76</v>
      </c>
      <c r="J29" s="180"/>
      <c r="K29" s="180"/>
      <c r="L29" s="180"/>
      <c r="M29" s="180"/>
      <c r="N29" s="180"/>
      <c r="O29" s="180"/>
    </row>
    <row r="30" spans="1:15">
      <c r="A30" s="9"/>
      <c r="B30" s="7">
        <v>27</v>
      </c>
      <c r="C30" s="178"/>
      <c r="D30" s="179" t="s">
        <v>138</v>
      </c>
      <c r="E30" s="180">
        <v>207.52</v>
      </c>
      <c r="F30" s="180">
        <v>178.48</v>
      </c>
      <c r="G30" s="180">
        <v>292.42</v>
      </c>
      <c r="H30" s="180">
        <v>339.23</v>
      </c>
      <c r="I30" s="180">
        <v>174.87</v>
      </c>
      <c r="J30" s="180"/>
      <c r="K30" s="180"/>
      <c r="L30" s="180"/>
      <c r="M30" s="180"/>
      <c r="N30" s="180"/>
      <c r="O30" s="180"/>
    </row>
    <row r="31" spans="1:15">
      <c r="A31" s="9"/>
      <c r="B31" s="7">
        <v>28</v>
      </c>
      <c r="C31" s="178"/>
      <c r="D31" s="179" t="s">
        <v>139</v>
      </c>
      <c r="E31" s="180">
        <v>11.48</v>
      </c>
      <c r="F31" s="180">
        <v>9.7899999999999991</v>
      </c>
      <c r="G31" s="180">
        <v>10.86</v>
      </c>
      <c r="H31" s="180">
        <v>15.82</v>
      </c>
      <c r="I31" s="180">
        <v>10.35</v>
      </c>
      <c r="J31" s="180"/>
      <c r="K31" s="180"/>
      <c r="L31" s="180"/>
      <c r="M31" s="180"/>
      <c r="N31" s="180"/>
      <c r="O31" s="180"/>
    </row>
    <row r="32" spans="1:15">
      <c r="A32" s="9"/>
      <c r="B32" s="7">
        <v>29</v>
      </c>
      <c r="C32" s="178"/>
      <c r="D32" s="179" t="s">
        <v>140</v>
      </c>
      <c r="E32" s="180">
        <v>0</v>
      </c>
      <c r="F32" s="180">
        <v>0</v>
      </c>
      <c r="G32" s="180">
        <v>0</v>
      </c>
      <c r="H32" s="180">
        <v>0</v>
      </c>
      <c r="I32" s="180">
        <v>0</v>
      </c>
      <c r="J32" s="180"/>
      <c r="K32" s="180"/>
      <c r="L32" s="180"/>
      <c r="M32" s="180"/>
      <c r="N32" s="180"/>
      <c r="O32" s="180"/>
    </row>
    <row r="33" spans="1:15" ht="12">
      <c r="A33" s="9"/>
      <c r="B33" s="7">
        <v>30</v>
      </c>
      <c r="C33" s="181"/>
      <c r="D33" s="182" t="s">
        <v>141</v>
      </c>
      <c r="E33" s="183">
        <v>39445.15</v>
      </c>
      <c r="F33" s="183">
        <v>19016.11</v>
      </c>
      <c r="G33" s="183">
        <v>35917.1</v>
      </c>
      <c r="H33" s="183">
        <v>42830.45</v>
      </c>
      <c r="I33" s="183">
        <v>32174.19</v>
      </c>
      <c r="J33" s="183"/>
      <c r="K33" s="183"/>
      <c r="L33" s="183"/>
      <c r="M33" s="183"/>
      <c r="N33" s="183"/>
      <c r="O33" s="183"/>
    </row>
    <row r="34" spans="1:15">
      <c r="A34" s="9"/>
      <c r="B34" s="7">
        <v>31</v>
      </c>
      <c r="C34" s="178"/>
      <c r="D34" s="179" t="s">
        <v>142</v>
      </c>
      <c r="E34" s="180">
        <v>0</v>
      </c>
      <c r="F34" s="180">
        <v>0</v>
      </c>
      <c r="G34" s="180">
        <v>0</v>
      </c>
      <c r="H34" s="180">
        <v>0</v>
      </c>
      <c r="I34" s="180">
        <v>0</v>
      </c>
      <c r="J34" s="180"/>
      <c r="K34" s="180"/>
      <c r="L34" s="180"/>
      <c r="M34" s="180"/>
      <c r="N34" s="180"/>
      <c r="O34" s="180"/>
    </row>
    <row r="35" spans="1:15">
      <c r="A35" s="9"/>
      <c r="B35" s="7">
        <v>32</v>
      </c>
      <c r="C35" s="178"/>
      <c r="D35" s="179" t="s">
        <v>143</v>
      </c>
      <c r="E35" s="180">
        <v>9939.64</v>
      </c>
      <c r="F35" s="180">
        <v>6117.42</v>
      </c>
      <c r="G35" s="180">
        <v>9339.14</v>
      </c>
      <c r="H35" s="180">
        <v>12040.9</v>
      </c>
      <c r="I35" s="180">
        <v>7231.85</v>
      </c>
      <c r="J35" s="180"/>
      <c r="K35" s="180"/>
      <c r="L35" s="180"/>
      <c r="M35" s="180"/>
      <c r="N35" s="180"/>
      <c r="O35" s="180"/>
    </row>
    <row r="36" spans="1:15">
      <c r="A36" s="9"/>
      <c r="B36" s="7">
        <v>33</v>
      </c>
      <c r="C36" s="178"/>
      <c r="D36" s="179" t="s">
        <v>144</v>
      </c>
      <c r="E36" s="180">
        <v>0</v>
      </c>
      <c r="F36" s="180">
        <v>0</v>
      </c>
      <c r="G36" s="180">
        <v>0</v>
      </c>
      <c r="H36" s="180">
        <v>0</v>
      </c>
      <c r="I36" s="180">
        <v>0</v>
      </c>
      <c r="J36" s="180"/>
      <c r="K36" s="180"/>
      <c r="L36" s="180"/>
      <c r="M36" s="180"/>
      <c r="N36" s="180"/>
      <c r="O36" s="180"/>
    </row>
    <row r="37" spans="1:15">
      <c r="A37" s="9"/>
      <c r="B37" s="7">
        <v>34</v>
      </c>
      <c r="C37" s="178"/>
      <c r="D37" s="179" t="s">
        <v>145</v>
      </c>
      <c r="E37" s="180">
        <v>0</v>
      </c>
      <c r="F37" s="180">
        <v>0</v>
      </c>
      <c r="G37" s="180">
        <v>0</v>
      </c>
      <c r="H37" s="180">
        <v>0</v>
      </c>
      <c r="I37" s="180">
        <v>0</v>
      </c>
      <c r="J37" s="180"/>
      <c r="K37" s="180"/>
      <c r="L37" s="180"/>
      <c r="M37" s="180"/>
      <c r="N37" s="180"/>
      <c r="O37" s="180"/>
    </row>
    <row r="38" spans="1:15">
      <c r="A38" s="9"/>
      <c r="B38" s="7">
        <v>35</v>
      </c>
      <c r="C38" s="178"/>
      <c r="D38" s="179" t="s">
        <v>146</v>
      </c>
      <c r="E38" s="180">
        <v>0</v>
      </c>
      <c r="F38" s="180">
        <v>0</v>
      </c>
      <c r="G38" s="180">
        <v>0</v>
      </c>
      <c r="H38" s="180">
        <v>0</v>
      </c>
      <c r="I38" s="180">
        <v>0</v>
      </c>
      <c r="J38" s="180"/>
      <c r="K38" s="180"/>
      <c r="L38" s="180"/>
      <c r="M38" s="180"/>
      <c r="N38" s="180"/>
      <c r="O38" s="180"/>
    </row>
    <row r="39" spans="1:15">
      <c r="A39" s="9"/>
      <c r="B39" s="7">
        <v>36</v>
      </c>
      <c r="C39" s="178"/>
      <c r="D39" s="179" t="s">
        <v>147</v>
      </c>
      <c r="E39" s="180">
        <v>5062.78</v>
      </c>
      <c r="F39" s="180">
        <v>2629.59</v>
      </c>
      <c r="G39" s="180">
        <v>4548.83</v>
      </c>
      <c r="H39" s="180">
        <v>6073.33</v>
      </c>
      <c r="I39" s="180">
        <v>4144.32</v>
      </c>
      <c r="J39" s="180"/>
      <c r="K39" s="180"/>
      <c r="L39" s="180"/>
      <c r="M39" s="180"/>
      <c r="N39" s="180"/>
      <c r="O39" s="180"/>
    </row>
    <row r="40" spans="1:15" ht="12">
      <c r="A40" s="9"/>
      <c r="B40" s="7">
        <v>37</v>
      </c>
      <c r="C40" s="181"/>
      <c r="D40" s="182" t="s">
        <v>40</v>
      </c>
      <c r="E40" s="183">
        <v>54447.57</v>
      </c>
      <c r="F40" s="183">
        <v>27763.119999999999</v>
      </c>
      <c r="G40" s="183">
        <v>49805.07</v>
      </c>
      <c r="H40" s="183">
        <v>60944.68</v>
      </c>
      <c r="I40" s="183">
        <v>43550.36</v>
      </c>
      <c r="J40" s="183"/>
      <c r="K40" s="183"/>
      <c r="L40" s="183"/>
      <c r="M40" s="183"/>
      <c r="N40" s="183"/>
      <c r="O40" s="183"/>
    </row>
    <row r="41" spans="1:15" ht="12">
      <c r="A41" s="9"/>
      <c r="B41" s="7">
        <v>38</v>
      </c>
      <c r="C41" s="181" t="s">
        <v>153</v>
      </c>
      <c r="D41" s="182" t="s">
        <v>41</v>
      </c>
      <c r="E41" s="183">
        <v>5695884.2599999998</v>
      </c>
      <c r="F41" s="183">
        <v>3587051.46</v>
      </c>
      <c r="G41" s="183">
        <v>6115177.9699999997</v>
      </c>
      <c r="H41" s="183">
        <v>8276043.4199999999</v>
      </c>
      <c r="I41" s="183">
        <v>5241490.96</v>
      </c>
      <c r="J41" s="183"/>
      <c r="K41" s="183"/>
      <c r="L41" s="183"/>
      <c r="M41" s="183"/>
      <c r="N41" s="183"/>
      <c r="O41" s="183"/>
    </row>
    <row r="42" spans="1:15">
      <c r="A42" s="9"/>
      <c r="B42" s="7">
        <v>39</v>
      </c>
      <c r="C42" s="178"/>
      <c r="D42" s="179" t="s">
        <v>42</v>
      </c>
      <c r="E42" s="180">
        <v>0</v>
      </c>
      <c r="F42" s="180">
        <v>61507</v>
      </c>
      <c r="G42" s="180">
        <v>0</v>
      </c>
      <c r="H42" s="180">
        <v>3905</v>
      </c>
      <c r="I42" s="180">
        <v>0</v>
      </c>
      <c r="J42" s="180"/>
      <c r="K42" s="180"/>
      <c r="L42" s="180"/>
      <c r="M42" s="180"/>
      <c r="N42" s="180"/>
      <c r="O42" s="180"/>
    </row>
    <row r="43" spans="1:15" ht="24">
      <c r="A43" s="9"/>
      <c r="B43" s="7">
        <v>40</v>
      </c>
      <c r="C43" s="181" t="s">
        <v>159</v>
      </c>
      <c r="D43" s="182" t="s">
        <v>148</v>
      </c>
      <c r="E43" s="183">
        <v>5695884.2599999998</v>
      </c>
      <c r="F43" s="183">
        <v>3525544.46</v>
      </c>
      <c r="G43" s="183">
        <v>6115177.9699999997</v>
      </c>
      <c r="H43" s="183">
        <v>8272138.4199999999</v>
      </c>
      <c r="I43" s="183">
        <v>5241490.96</v>
      </c>
      <c r="J43" s="183"/>
      <c r="K43" s="183"/>
      <c r="L43" s="183"/>
      <c r="M43" s="183"/>
      <c r="N43" s="183"/>
      <c r="O43" s="183"/>
    </row>
    <row r="44" spans="1:15">
      <c r="A44" s="9"/>
      <c r="B44" s="7">
        <v>41</v>
      </c>
      <c r="C44" s="184" t="s">
        <v>160</v>
      </c>
      <c r="D44" s="185" t="s">
        <v>149</v>
      </c>
      <c r="E44" s="186">
        <v>57075.8768191688</v>
      </c>
      <c r="F44" s="186">
        <v>36257.339935817501</v>
      </c>
      <c r="G44" s="186">
        <v>66504.319839799893</v>
      </c>
      <c r="H44" s="186">
        <v>80916.280440684597</v>
      </c>
      <c r="I44" s="186">
        <v>48655.087867071103</v>
      </c>
      <c r="J44" s="186"/>
      <c r="K44" s="186"/>
      <c r="L44" s="186"/>
      <c r="M44" s="186"/>
      <c r="N44" s="186"/>
      <c r="O44" s="186"/>
    </row>
    <row r="45" spans="1:15">
      <c r="B45" s="7">
        <v>42</v>
      </c>
      <c r="C45" s="184" t="s">
        <v>161</v>
      </c>
      <c r="D45" s="185" t="s">
        <v>90</v>
      </c>
      <c r="E45" s="186">
        <v>1716.1846422568599</v>
      </c>
      <c r="F45" s="186">
        <v>1528.2322172900101</v>
      </c>
      <c r="G45" s="186">
        <v>1651.29630506593</v>
      </c>
      <c r="H45" s="186">
        <v>2248.71651299628</v>
      </c>
      <c r="I45" s="186">
        <v>2127.8899540890202</v>
      </c>
      <c r="J45" s="186"/>
      <c r="K45" s="186"/>
      <c r="L45" s="186"/>
      <c r="M45" s="186"/>
      <c r="N45" s="186"/>
      <c r="O45" s="186"/>
    </row>
    <row r="46" spans="1:15">
      <c r="B46" s="7">
        <v>43</v>
      </c>
      <c r="C46" s="184" t="s">
        <v>162</v>
      </c>
      <c r="D46" s="185" t="s">
        <v>91</v>
      </c>
      <c r="E46" s="186">
        <v>13.778612392710199</v>
      </c>
      <c r="F46" s="186">
        <v>4.8709547716416797</v>
      </c>
      <c r="G46" s="186">
        <v>16.362102216343299</v>
      </c>
      <c r="H46" s="186">
        <v>24.946823609457599</v>
      </c>
      <c r="I46" s="186">
        <v>6.4049018544238603</v>
      </c>
      <c r="J46" s="186"/>
      <c r="K46" s="186"/>
      <c r="L46" s="186"/>
      <c r="M46" s="186"/>
      <c r="N46" s="186"/>
      <c r="O46" s="186"/>
    </row>
    <row r="47" spans="1:15">
      <c r="B47" s="7">
        <v>44</v>
      </c>
      <c r="C47" s="184" t="s">
        <v>163</v>
      </c>
      <c r="D47" s="185" t="s">
        <v>92</v>
      </c>
      <c r="E47" s="186">
        <v>8448.6833997234899</v>
      </c>
      <c r="F47" s="186">
        <v>5367.0097264452997</v>
      </c>
      <c r="G47" s="186">
        <v>9844.3330940071501</v>
      </c>
      <c r="H47" s="186">
        <v>11977.6703123198</v>
      </c>
      <c r="I47" s="186">
        <v>7202.1921709059698</v>
      </c>
      <c r="J47" s="186"/>
      <c r="K47" s="186"/>
      <c r="L47" s="186"/>
      <c r="M47" s="186"/>
      <c r="N47" s="186"/>
      <c r="O47" s="186"/>
    </row>
    <row r="48" spans="1:15" ht="24">
      <c r="B48" s="7">
        <v>45</v>
      </c>
      <c r="C48" s="187" t="s">
        <v>244</v>
      </c>
      <c r="D48" s="188" t="s">
        <v>93</v>
      </c>
      <c r="E48" s="189">
        <v>67254.523473541805</v>
      </c>
      <c r="F48" s="189">
        <v>43157.452834324497</v>
      </c>
      <c r="G48" s="189">
        <v>78016.311341089298</v>
      </c>
      <c r="H48" s="189">
        <v>95167.614089610201</v>
      </c>
      <c r="I48" s="189">
        <v>57991.5748939205</v>
      </c>
      <c r="J48" s="189"/>
      <c r="K48" s="189"/>
      <c r="L48" s="189"/>
      <c r="M48" s="189"/>
      <c r="N48" s="189"/>
      <c r="O48" s="189"/>
    </row>
    <row r="49" spans="2:15">
      <c r="B49" s="7">
        <v>46</v>
      </c>
      <c r="C49" s="190" t="s">
        <v>245</v>
      </c>
      <c r="D49" s="191" t="s">
        <v>246</v>
      </c>
      <c r="E49" s="192" t="s">
        <v>154</v>
      </c>
      <c r="F49" s="192" t="s">
        <v>154</v>
      </c>
      <c r="G49" s="192" t="s">
        <v>154</v>
      </c>
      <c r="H49" s="192" t="s">
        <v>154</v>
      </c>
      <c r="I49" s="192" t="s">
        <v>154</v>
      </c>
      <c r="J49" s="192"/>
      <c r="K49" s="192"/>
      <c r="L49" s="192"/>
      <c r="M49" s="192"/>
      <c r="N49" s="192"/>
      <c r="O49" s="192"/>
    </row>
    <row r="50" spans="2:15">
      <c r="B50" s="7">
        <v>47</v>
      </c>
      <c r="C50" s="190" t="s">
        <v>247</v>
      </c>
      <c r="D50" s="191" t="s">
        <v>248</v>
      </c>
      <c r="E50" s="192" t="s">
        <v>154</v>
      </c>
      <c r="F50" s="192" t="s">
        <v>154</v>
      </c>
      <c r="G50" s="192" t="s">
        <v>154</v>
      </c>
      <c r="H50" s="192" t="s">
        <v>154</v>
      </c>
      <c r="I50" s="192" t="s">
        <v>154</v>
      </c>
      <c r="J50" s="192"/>
      <c r="K50" s="192"/>
      <c r="L50" s="192"/>
      <c r="M50" s="192"/>
      <c r="N50" s="192"/>
      <c r="O50" s="192"/>
    </row>
    <row r="51" spans="2:15">
      <c r="B51" s="7">
        <v>48</v>
      </c>
      <c r="C51" s="190" t="s">
        <v>249</v>
      </c>
      <c r="D51" s="191" t="s">
        <v>250</v>
      </c>
      <c r="E51" s="192" t="s">
        <v>154</v>
      </c>
      <c r="F51" s="192" t="s">
        <v>154</v>
      </c>
      <c r="G51" s="192" t="s">
        <v>154</v>
      </c>
      <c r="H51" s="192" t="s">
        <v>154</v>
      </c>
      <c r="I51" s="192" t="s">
        <v>154</v>
      </c>
      <c r="J51" s="192"/>
      <c r="K51" s="192"/>
      <c r="L51" s="192"/>
      <c r="M51" s="192"/>
      <c r="N51" s="192"/>
      <c r="O51" s="192"/>
    </row>
    <row r="52" spans="2:15">
      <c r="B52" s="7">
        <v>49</v>
      </c>
      <c r="C52" s="190" t="s">
        <v>251</v>
      </c>
      <c r="D52" s="191" t="s">
        <v>252</v>
      </c>
      <c r="E52" s="192" t="s">
        <v>154</v>
      </c>
      <c r="F52" s="192" t="s">
        <v>154</v>
      </c>
      <c r="G52" s="192" t="s">
        <v>154</v>
      </c>
      <c r="H52" s="192" t="s">
        <v>154</v>
      </c>
      <c r="I52" s="192" t="s">
        <v>154</v>
      </c>
      <c r="J52" s="192"/>
      <c r="K52" s="192"/>
      <c r="L52" s="192"/>
      <c r="M52" s="192"/>
      <c r="N52" s="192"/>
      <c r="O52" s="192"/>
    </row>
    <row r="53" spans="2:15">
      <c r="B53" s="7">
        <v>50</v>
      </c>
      <c r="C53" s="190" t="s">
        <v>253</v>
      </c>
      <c r="D53" s="191" t="s">
        <v>254</v>
      </c>
      <c r="E53" s="192" t="s">
        <v>154</v>
      </c>
      <c r="F53" s="192" t="s">
        <v>154</v>
      </c>
      <c r="G53" s="192" t="s">
        <v>154</v>
      </c>
      <c r="H53" s="192" t="s">
        <v>154</v>
      </c>
      <c r="I53" s="192" t="s">
        <v>154</v>
      </c>
      <c r="J53" s="192"/>
      <c r="K53" s="192"/>
      <c r="L53" s="192"/>
      <c r="M53" s="192"/>
      <c r="N53" s="192"/>
      <c r="O53" s="192"/>
    </row>
    <row r="54" spans="2:15">
      <c r="B54" s="7">
        <v>51</v>
      </c>
      <c r="C54" s="190" t="s">
        <v>255</v>
      </c>
      <c r="D54" s="191" t="s">
        <v>256</v>
      </c>
      <c r="E54" s="192" t="s">
        <v>154</v>
      </c>
      <c r="F54" s="192" t="s">
        <v>154</v>
      </c>
      <c r="G54" s="192" t="s">
        <v>154</v>
      </c>
      <c r="H54" s="192" t="s">
        <v>154</v>
      </c>
      <c r="I54" s="192" t="s">
        <v>154</v>
      </c>
      <c r="J54" s="192"/>
      <c r="K54" s="192"/>
      <c r="L54" s="192"/>
      <c r="M54" s="192"/>
      <c r="N54" s="192"/>
      <c r="O54" s="192"/>
    </row>
    <row r="55" spans="2:15">
      <c r="B55" s="7">
        <v>52</v>
      </c>
      <c r="C55" s="190" t="s">
        <v>257</v>
      </c>
      <c r="D55" s="191" t="s">
        <v>258</v>
      </c>
      <c r="E55" s="192" t="s">
        <v>154</v>
      </c>
      <c r="F55" s="192" t="s">
        <v>154</v>
      </c>
      <c r="G55" s="192" t="s">
        <v>154</v>
      </c>
      <c r="H55" s="192" t="s">
        <v>154</v>
      </c>
      <c r="I55" s="192" t="s">
        <v>154</v>
      </c>
      <c r="J55" s="192"/>
      <c r="K55" s="192"/>
      <c r="L55" s="192"/>
      <c r="M55" s="192"/>
      <c r="N55" s="192"/>
      <c r="O55" s="192"/>
    </row>
    <row r="56" spans="2:15">
      <c r="B56" s="7">
        <v>53</v>
      </c>
      <c r="C56" s="190" t="s">
        <v>259</v>
      </c>
      <c r="D56" s="191" t="s">
        <v>260</v>
      </c>
      <c r="E56" s="192" t="s">
        <v>154</v>
      </c>
      <c r="F56" s="192" t="s">
        <v>154</v>
      </c>
      <c r="G56" s="192" t="s">
        <v>154</v>
      </c>
      <c r="H56" s="192" t="s">
        <v>154</v>
      </c>
      <c r="I56" s="192" t="s">
        <v>154</v>
      </c>
      <c r="J56" s="192"/>
      <c r="K56" s="192"/>
      <c r="L56" s="192"/>
      <c r="M56" s="192"/>
      <c r="N56" s="192"/>
      <c r="O56" s="192"/>
    </row>
    <row r="57" spans="2:15">
      <c r="B57" s="7">
        <v>54</v>
      </c>
      <c r="C57" s="190" t="s">
        <v>261</v>
      </c>
      <c r="D57" s="191" t="s">
        <v>262</v>
      </c>
      <c r="E57" s="192" t="s">
        <v>154</v>
      </c>
      <c r="F57" s="192" t="s">
        <v>154</v>
      </c>
      <c r="G57" s="192" t="s">
        <v>154</v>
      </c>
      <c r="H57" s="192" t="s">
        <v>154</v>
      </c>
      <c r="I57" s="192" t="s">
        <v>154</v>
      </c>
      <c r="J57" s="192"/>
      <c r="K57" s="192"/>
      <c r="L57" s="192"/>
      <c r="M57" s="192"/>
      <c r="N57" s="192"/>
      <c r="O57" s="192"/>
    </row>
    <row r="58" spans="2:15">
      <c r="B58" s="7">
        <v>55</v>
      </c>
      <c r="C58" s="190" t="s">
        <v>263</v>
      </c>
      <c r="D58" s="191" t="s">
        <v>264</v>
      </c>
      <c r="E58" s="192" t="s">
        <v>154</v>
      </c>
      <c r="F58" s="192" t="s">
        <v>154</v>
      </c>
      <c r="G58" s="192" t="s">
        <v>154</v>
      </c>
      <c r="H58" s="192" t="s">
        <v>154</v>
      </c>
      <c r="I58" s="192" t="s">
        <v>154</v>
      </c>
      <c r="J58" s="192"/>
      <c r="K58" s="192"/>
      <c r="L58" s="192"/>
      <c r="M58" s="192"/>
      <c r="N58" s="192"/>
      <c r="O58" s="192"/>
    </row>
    <row r="59" spans="2:15" ht="12">
      <c r="B59" s="7">
        <v>56</v>
      </c>
      <c r="C59" s="193" t="s">
        <v>265</v>
      </c>
      <c r="D59" s="194" t="s">
        <v>266</v>
      </c>
      <c r="E59" s="195"/>
      <c r="F59" s="195" t="s">
        <v>154</v>
      </c>
      <c r="G59" s="195" t="s">
        <v>154</v>
      </c>
      <c r="H59" s="195" t="s">
        <v>154</v>
      </c>
      <c r="I59" s="195" t="s">
        <v>154</v>
      </c>
      <c r="J59" s="195"/>
      <c r="K59" s="195"/>
      <c r="L59" s="195"/>
      <c r="M59" s="195"/>
      <c r="N59" s="195"/>
      <c r="O59" s="195"/>
    </row>
    <row r="60" spans="2:15" ht="12">
      <c r="B60" s="7">
        <v>57</v>
      </c>
      <c r="C60" s="193" t="s">
        <v>267</v>
      </c>
      <c r="D60" s="194" t="s">
        <v>268</v>
      </c>
      <c r="E60" s="195" t="s">
        <v>154</v>
      </c>
      <c r="F60" s="195" t="s">
        <v>154</v>
      </c>
      <c r="G60" s="195" t="s">
        <v>154</v>
      </c>
      <c r="H60" s="195" t="s">
        <v>154</v>
      </c>
      <c r="I60" s="195" t="s">
        <v>154</v>
      </c>
      <c r="J60" s="195"/>
      <c r="K60" s="195"/>
      <c r="L60" s="195"/>
      <c r="M60" s="195"/>
      <c r="N60" s="195"/>
      <c r="O60" s="195"/>
    </row>
    <row r="61" spans="2:15" ht="12">
      <c r="B61" s="7">
        <v>58</v>
      </c>
      <c r="C61" s="193" t="s">
        <v>269</v>
      </c>
      <c r="D61" s="194" t="s">
        <v>270</v>
      </c>
      <c r="E61" s="195" t="s">
        <v>154</v>
      </c>
      <c r="F61" s="195" t="s">
        <v>154</v>
      </c>
      <c r="G61" s="195" t="s">
        <v>154</v>
      </c>
      <c r="H61" s="195" t="s">
        <v>154</v>
      </c>
      <c r="I61" s="195" t="s">
        <v>154</v>
      </c>
      <c r="J61" s="195"/>
      <c r="K61" s="195"/>
      <c r="L61" s="195"/>
      <c r="M61" s="195"/>
      <c r="N61" s="195"/>
      <c r="O61" s="195"/>
    </row>
    <row r="62" spans="2:15" ht="12">
      <c r="B62" s="7">
        <v>59</v>
      </c>
      <c r="C62" s="193" t="s">
        <v>271</v>
      </c>
      <c r="D62" s="194" t="s">
        <v>272</v>
      </c>
      <c r="E62" s="195" t="s">
        <v>154</v>
      </c>
      <c r="F62" s="195" t="s">
        <v>154</v>
      </c>
      <c r="G62" s="195" t="s">
        <v>154</v>
      </c>
      <c r="H62" s="195" t="s">
        <v>154</v>
      </c>
      <c r="I62" s="195" t="s">
        <v>154</v>
      </c>
      <c r="J62" s="195"/>
      <c r="K62" s="195"/>
      <c r="L62" s="195"/>
      <c r="M62" s="195"/>
      <c r="N62" s="195"/>
      <c r="O62" s="195"/>
    </row>
    <row r="63" spans="2:15" ht="12">
      <c r="B63" s="7">
        <v>60</v>
      </c>
      <c r="C63" s="193" t="s">
        <v>273</v>
      </c>
      <c r="D63" s="194" t="s">
        <v>274</v>
      </c>
      <c r="E63" s="195" t="s">
        <v>154</v>
      </c>
      <c r="F63" s="195" t="s">
        <v>154</v>
      </c>
      <c r="G63" s="195" t="s">
        <v>154</v>
      </c>
      <c r="H63" s="195" t="s">
        <v>154</v>
      </c>
      <c r="I63" s="195" t="s">
        <v>154</v>
      </c>
      <c r="J63" s="195"/>
      <c r="K63" s="195"/>
      <c r="L63" s="195"/>
      <c r="M63" s="195"/>
      <c r="N63" s="195"/>
      <c r="O63" s="195"/>
    </row>
    <row r="64" spans="2:15" ht="12">
      <c r="B64" s="7">
        <v>61</v>
      </c>
      <c r="C64" s="193" t="s">
        <v>275</v>
      </c>
      <c r="D64" s="194" t="s">
        <v>276</v>
      </c>
      <c r="E64" s="195" t="s">
        <v>154</v>
      </c>
      <c r="F64" s="195" t="s">
        <v>154</v>
      </c>
      <c r="G64" s="195" t="s">
        <v>154</v>
      </c>
      <c r="H64" s="195" t="s">
        <v>154</v>
      </c>
      <c r="I64" s="195" t="s">
        <v>154</v>
      </c>
      <c r="J64" s="195"/>
      <c r="K64" s="195"/>
      <c r="L64" s="195"/>
      <c r="M64" s="195"/>
      <c r="N64" s="195"/>
      <c r="O64" s="195"/>
    </row>
    <row r="65" spans="2:15" ht="24">
      <c r="B65" s="7">
        <v>62</v>
      </c>
      <c r="C65" s="187" t="s">
        <v>277</v>
      </c>
      <c r="D65" s="188" t="s">
        <v>278</v>
      </c>
      <c r="E65" s="189" t="s">
        <v>154</v>
      </c>
      <c r="F65" s="189" t="s">
        <v>154</v>
      </c>
      <c r="G65" s="189" t="s">
        <v>154</v>
      </c>
      <c r="H65" s="189" t="s">
        <v>154</v>
      </c>
      <c r="I65" s="189" t="s">
        <v>154</v>
      </c>
      <c r="J65" s="189"/>
      <c r="K65" s="189"/>
      <c r="L65" s="189"/>
      <c r="M65" s="189"/>
      <c r="N65" s="189"/>
      <c r="O65" s="189"/>
    </row>
    <row r="66" spans="2:15" ht="36">
      <c r="B66" s="7">
        <v>63</v>
      </c>
      <c r="C66" s="181" t="s">
        <v>279</v>
      </c>
      <c r="D66" s="182" t="s">
        <v>280</v>
      </c>
      <c r="E66" s="183">
        <v>5763138.7834735401</v>
      </c>
      <c r="F66" s="183">
        <v>3568701.91283433</v>
      </c>
      <c r="G66" s="183">
        <v>6193194.2813410899</v>
      </c>
      <c r="H66" s="183">
        <v>8367306.03408961</v>
      </c>
      <c r="I66" s="183">
        <v>5299482.5348939197</v>
      </c>
      <c r="J66" s="183"/>
      <c r="K66" s="183"/>
      <c r="L66" s="183"/>
      <c r="M66" s="183"/>
      <c r="N66" s="183"/>
      <c r="O66" s="183"/>
    </row>
    <row r="67" spans="2:15" ht="24">
      <c r="B67" s="7">
        <v>64</v>
      </c>
      <c r="C67" s="181" t="s">
        <v>281</v>
      </c>
      <c r="D67" s="182" t="s">
        <v>282</v>
      </c>
      <c r="E67" s="183">
        <v>5817586.3534735404</v>
      </c>
      <c r="F67" s="183">
        <v>3657972.0328343301</v>
      </c>
      <c r="G67" s="183">
        <v>6242999.3513410902</v>
      </c>
      <c r="H67" s="183">
        <v>8432155.7140896097</v>
      </c>
      <c r="I67" s="183">
        <v>5343032.89489392</v>
      </c>
      <c r="J67" s="183"/>
      <c r="K67" s="183"/>
      <c r="L67" s="183"/>
      <c r="M67" s="183"/>
      <c r="N67" s="183"/>
      <c r="O67" s="183"/>
    </row>
    <row r="68" spans="2:15" ht="15">
      <c r="B68" s="7">
        <v>65</v>
      </c>
      <c r="C68" s="146" t="s">
        <v>164</v>
      </c>
      <c r="D68" s="146"/>
      <c r="E68" s="147"/>
      <c r="F68" s="147"/>
      <c r="G68" s="147"/>
      <c r="H68" s="147"/>
      <c r="I68" s="147"/>
      <c r="J68" s="146"/>
      <c r="K68" s="146"/>
      <c r="L68" s="146"/>
      <c r="M68" s="146"/>
      <c r="N68" s="146"/>
      <c r="O68" s="146"/>
    </row>
    <row r="69" spans="2:15" ht="12.6">
      <c r="B69" s="7">
        <v>66</v>
      </c>
      <c r="C69" s="145"/>
      <c r="D69" s="145"/>
      <c r="E69" s="145"/>
      <c r="F69" s="145"/>
      <c r="G69" s="145"/>
      <c r="H69" s="145"/>
      <c r="I69" s="145"/>
      <c r="J69" s="145"/>
      <c r="K69" s="145"/>
      <c r="L69" s="145"/>
      <c r="M69" s="145"/>
      <c r="N69" s="145"/>
      <c r="O69" s="145"/>
    </row>
    <row r="70" spans="2:15">
      <c r="B70" s="7">
        <v>67</v>
      </c>
      <c r="C70" s="178"/>
      <c r="D70" s="179" t="s">
        <v>167</v>
      </c>
      <c r="E70" s="178" t="s">
        <v>153</v>
      </c>
      <c r="F70" s="178" t="s">
        <v>285</v>
      </c>
      <c r="G70" s="178" t="s">
        <v>168</v>
      </c>
      <c r="H70" s="178" t="s">
        <v>168</v>
      </c>
      <c r="I70" s="178" t="s">
        <v>168</v>
      </c>
      <c r="J70" s="178"/>
      <c r="K70" s="178"/>
      <c r="L70" s="178"/>
      <c r="M70" s="178"/>
      <c r="N70" s="178"/>
      <c r="O70" s="178"/>
    </row>
    <row r="71" spans="2:15" ht="15">
      <c r="B71" s="7">
        <v>68</v>
      </c>
      <c r="C71" s="146" t="s">
        <v>164</v>
      </c>
      <c r="D71" s="146"/>
      <c r="E71" s="147"/>
      <c r="F71" s="147"/>
      <c r="G71" s="147"/>
      <c r="H71" s="147"/>
      <c r="I71" s="147"/>
      <c r="J71" s="146"/>
      <c r="K71" s="146"/>
      <c r="L71" s="146"/>
      <c r="M71" s="146"/>
      <c r="N71" s="146"/>
      <c r="O71" s="146"/>
    </row>
    <row r="72" spans="2:15" ht="12.6">
      <c r="B72" s="7">
        <v>69</v>
      </c>
      <c r="C72" s="145"/>
      <c r="D72" s="145"/>
      <c r="E72" s="145"/>
      <c r="F72" s="145"/>
      <c r="G72" s="145"/>
      <c r="H72" s="145"/>
      <c r="I72" s="145"/>
      <c r="J72" s="145"/>
      <c r="K72" s="145"/>
      <c r="L72" s="145"/>
      <c r="M72" s="145"/>
      <c r="N72" s="145"/>
      <c r="O72" s="145"/>
    </row>
    <row r="73" spans="2:15">
      <c r="B73" s="7">
        <v>70</v>
      </c>
      <c r="C73" s="178" t="s">
        <v>169</v>
      </c>
      <c r="D73" s="179" t="s">
        <v>170</v>
      </c>
      <c r="E73" s="180">
        <f>785558*30</f>
        <v>23566740</v>
      </c>
      <c r="F73" s="180">
        <v>573524</v>
      </c>
      <c r="G73" s="180">
        <v>950726</v>
      </c>
      <c r="H73" s="180">
        <v>1311025</v>
      </c>
      <c r="I73" s="180">
        <v>798955</v>
      </c>
      <c r="J73" s="196"/>
      <c r="K73" s="196"/>
      <c r="L73" s="196"/>
      <c r="M73" s="196"/>
      <c r="N73" s="196"/>
      <c r="O73" s="196"/>
    </row>
    <row r="74" spans="2:15" ht="15">
      <c r="B74" s="7">
        <v>71</v>
      </c>
      <c r="C74" s="146" t="s">
        <v>164</v>
      </c>
      <c r="D74" s="146"/>
      <c r="E74" s="147"/>
      <c r="F74" s="147"/>
      <c r="G74" s="147"/>
      <c r="H74" s="147"/>
      <c r="I74" s="147"/>
      <c r="J74" s="146"/>
      <c r="K74" s="146"/>
      <c r="L74" s="146"/>
      <c r="M74" s="146"/>
      <c r="N74" s="146"/>
      <c r="O74" s="146"/>
    </row>
    <row r="75" spans="2:15" ht="12.6">
      <c r="B75" s="7">
        <v>72</v>
      </c>
      <c r="C75" s="145"/>
      <c r="D75" s="145"/>
      <c r="E75" s="145"/>
      <c r="F75" s="145"/>
      <c r="G75" s="145"/>
      <c r="H75" s="145"/>
      <c r="I75" s="145"/>
      <c r="J75" s="145"/>
      <c r="K75" s="145"/>
      <c r="L75" s="145"/>
      <c r="M75" s="145"/>
      <c r="N75" s="145"/>
      <c r="O75" s="145"/>
    </row>
    <row r="76" spans="2:15" ht="12">
      <c r="B76" s="7">
        <v>73</v>
      </c>
      <c r="C76" s="178" t="s">
        <v>171</v>
      </c>
      <c r="D76" s="182" t="s">
        <v>172</v>
      </c>
      <c r="E76" s="196">
        <f>E66/E73</f>
        <v>0.2445454391856294</v>
      </c>
      <c r="F76" s="196">
        <v>6.2544051513101504</v>
      </c>
      <c r="G76" s="196">
        <v>6.4321139529159801</v>
      </c>
      <c r="H76" s="196">
        <v>6.3126511088652002</v>
      </c>
      <c r="I76" s="196">
        <v>6.56043326595365</v>
      </c>
      <c r="J76" s="196"/>
      <c r="K76" s="196"/>
      <c r="L76" s="196"/>
      <c r="M76" s="196"/>
      <c r="N76" s="196"/>
      <c r="O76" s="196"/>
    </row>
    <row r="77" spans="2:15" ht="48">
      <c r="B77" s="7">
        <v>74</v>
      </c>
      <c r="C77" s="178" t="s">
        <v>173</v>
      </c>
      <c r="D77" s="182" t="s">
        <v>283</v>
      </c>
      <c r="E77" s="196">
        <f>E67/E73</f>
        <v>0.24685579564562346</v>
      </c>
      <c r="F77" s="196">
        <v>6.3780627015335503</v>
      </c>
      <c r="G77" s="196">
        <v>6.5665600302727496</v>
      </c>
      <c r="H77" s="196">
        <v>6.4317276284507301</v>
      </c>
      <c r="I77" s="196">
        <v>6.6875267003697596</v>
      </c>
      <c r="J77" s="196"/>
      <c r="K77" s="196"/>
      <c r="L77" s="196"/>
      <c r="M77" s="196"/>
      <c r="N77" s="196"/>
      <c r="O77" s="196"/>
    </row>
    <row r="78" spans="2:15" ht="15">
      <c r="B78" s="7">
        <v>75</v>
      </c>
      <c r="C78" s="146" t="s">
        <v>164</v>
      </c>
      <c r="D78" s="146"/>
      <c r="E78" s="147"/>
      <c r="F78" s="147"/>
      <c r="G78" s="147"/>
      <c r="H78" s="147"/>
      <c r="I78" s="147"/>
      <c r="J78" s="146"/>
      <c r="K78" s="146"/>
      <c r="L78" s="146"/>
      <c r="M78" s="146"/>
      <c r="N78" s="146"/>
      <c r="O78" s="146"/>
    </row>
    <row r="79" spans="2:15" ht="12.6">
      <c r="B79" s="7">
        <v>76</v>
      </c>
      <c r="C79" s="145"/>
      <c r="D79" s="145"/>
      <c r="E79" s="145"/>
      <c r="F79" s="145"/>
      <c r="G79" s="145"/>
      <c r="H79" s="145"/>
      <c r="I79" s="145"/>
      <c r="J79" s="145"/>
      <c r="K79" s="145"/>
      <c r="L79" s="145"/>
      <c r="M79" s="145"/>
      <c r="N79" s="145"/>
      <c r="O79" s="145"/>
    </row>
    <row r="80" spans="2:15">
      <c r="B80" s="7">
        <v>77</v>
      </c>
      <c r="C80" s="178"/>
      <c r="D80" s="179" t="s">
        <v>165</v>
      </c>
      <c r="E80" s="178"/>
      <c r="F80" s="178"/>
      <c r="G80" s="178"/>
      <c r="H80" s="178"/>
      <c r="I80" s="178"/>
      <c r="J80" s="178"/>
      <c r="K80" s="178"/>
      <c r="L80" s="178"/>
      <c r="M80" s="178"/>
      <c r="N80" s="178"/>
      <c r="O80" s="178"/>
    </row>
    <row r="81" spans="2:15" ht="15">
      <c r="B81" s="7">
        <v>78</v>
      </c>
      <c r="C81" s="146" t="s">
        <v>164</v>
      </c>
      <c r="D81" s="146"/>
      <c r="E81" s="147"/>
      <c r="F81" s="147"/>
      <c r="G81" s="147"/>
      <c r="H81" s="147"/>
      <c r="I81" s="147"/>
      <c r="J81" s="146"/>
      <c r="K81" s="146"/>
      <c r="L81" s="146"/>
      <c r="M81" s="146"/>
      <c r="N81" s="146"/>
      <c r="O81" s="146"/>
    </row>
    <row r="82" spans="2:15" ht="12.6">
      <c r="B82" s="7">
        <v>79</v>
      </c>
      <c r="C82" s="145"/>
      <c r="D82" s="145"/>
      <c r="E82" s="145"/>
      <c r="F82" s="145"/>
      <c r="G82" s="145"/>
      <c r="H82" s="145"/>
      <c r="I82" s="145"/>
      <c r="J82" s="145"/>
      <c r="K82" s="145"/>
      <c r="L82" s="145"/>
      <c r="M82" s="145"/>
      <c r="N82" s="145"/>
      <c r="O82" s="145"/>
    </row>
    <row r="83" spans="2:15">
      <c r="B83" s="7">
        <v>80</v>
      </c>
      <c r="C83" s="178"/>
      <c r="D83" s="179" t="s">
        <v>43</v>
      </c>
      <c r="E83" s="196">
        <v>860119.87</v>
      </c>
      <c r="F83" s="196">
        <v>480500.1</v>
      </c>
      <c r="G83" s="196">
        <v>678683.53</v>
      </c>
      <c r="H83" s="196">
        <v>1168963.75</v>
      </c>
      <c r="I83" s="196">
        <v>741401.96</v>
      </c>
      <c r="J83" s="196"/>
      <c r="K83" s="196"/>
      <c r="L83" s="196"/>
      <c r="M83" s="196"/>
      <c r="N83" s="196"/>
      <c r="O83" s="196"/>
    </row>
    <row r="84" spans="2:15">
      <c r="B84" s="7">
        <v>81</v>
      </c>
      <c r="C84" s="178"/>
      <c r="D84" s="179" t="s">
        <v>44</v>
      </c>
      <c r="E84" s="196">
        <v>8.44</v>
      </c>
      <c r="F84" s="196">
        <v>3.34</v>
      </c>
      <c r="G84" s="196">
        <v>6.74</v>
      </c>
      <c r="H84" s="196">
        <v>9.2899999999999991</v>
      </c>
      <c r="I84" s="196">
        <v>6.87</v>
      </c>
      <c r="J84" s="196"/>
      <c r="K84" s="196"/>
      <c r="L84" s="196"/>
      <c r="M84" s="196"/>
      <c r="N84" s="196"/>
      <c r="O84" s="196"/>
    </row>
    <row r="85" spans="2:15" ht="24">
      <c r="B85" s="7">
        <v>82</v>
      </c>
      <c r="C85" s="197"/>
      <c r="D85" s="198" t="s">
        <v>166</v>
      </c>
      <c r="E85" s="199">
        <v>101909.9372</v>
      </c>
      <c r="F85" s="199">
        <v>143862.30540000001</v>
      </c>
      <c r="G85" s="199">
        <v>100694.8858</v>
      </c>
      <c r="H85" s="199">
        <v>125830.32829999999</v>
      </c>
      <c r="I85" s="199">
        <v>107918.7715</v>
      </c>
      <c r="J85" s="199"/>
      <c r="K85" s="199"/>
      <c r="L85" s="199"/>
      <c r="M85" s="199"/>
      <c r="N85" s="199"/>
      <c r="O85" s="199"/>
    </row>
    <row r="86" spans="2:15" ht="15">
      <c r="B86" s="7">
        <v>83</v>
      </c>
      <c r="C86" s="146" t="s">
        <v>164</v>
      </c>
      <c r="D86" s="146"/>
      <c r="E86" s="147"/>
      <c r="F86" s="147"/>
      <c r="G86" s="147"/>
      <c r="H86" s="147"/>
      <c r="I86" s="147"/>
      <c r="J86" s="146"/>
      <c r="K86" s="146"/>
      <c r="L86" s="146"/>
      <c r="M86" s="146"/>
      <c r="N86" s="146"/>
      <c r="O86" s="146"/>
    </row>
    <row r="87" spans="2:15" ht="12.6">
      <c r="B87" s="7">
        <v>84</v>
      </c>
      <c r="C87" s="145"/>
      <c r="D87" s="145"/>
      <c r="E87" s="145"/>
      <c r="F87" s="145"/>
      <c r="G87" s="145"/>
      <c r="H87" s="145"/>
      <c r="I87" s="145"/>
      <c r="J87" s="145"/>
      <c r="K87" s="145"/>
      <c r="L87" s="145"/>
      <c r="M87" s="145"/>
      <c r="N87" s="145"/>
      <c r="O87" s="145"/>
    </row>
    <row r="88" spans="2:15">
      <c r="B88" s="7">
        <v>85</v>
      </c>
      <c r="C88" s="178"/>
      <c r="D88" s="179" t="s">
        <v>45</v>
      </c>
      <c r="E88" s="196">
        <v>168525.5</v>
      </c>
      <c r="F88" s="196">
        <v>95313.19</v>
      </c>
      <c r="G88" s="196">
        <v>188492.52</v>
      </c>
      <c r="H88" s="196">
        <v>244142.68</v>
      </c>
      <c r="I88" s="196">
        <v>126711.67999999999</v>
      </c>
      <c r="J88" s="196"/>
      <c r="K88" s="196"/>
      <c r="L88" s="196"/>
      <c r="M88" s="196"/>
      <c r="N88" s="196"/>
      <c r="O88" s="196"/>
    </row>
    <row r="89" spans="2:15">
      <c r="B89" s="7">
        <v>86</v>
      </c>
      <c r="C89" s="178"/>
      <c r="D89" s="179" t="s">
        <v>46</v>
      </c>
      <c r="E89" s="196">
        <v>3.49</v>
      </c>
      <c r="F89" s="196">
        <v>2.23</v>
      </c>
      <c r="G89" s="196">
        <v>4.08</v>
      </c>
      <c r="H89" s="196">
        <v>4.25</v>
      </c>
      <c r="I89" s="196">
        <v>2.39</v>
      </c>
      <c r="J89" s="196"/>
      <c r="K89" s="196"/>
      <c r="L89" s="196"/>
      <c r="M89" s="196"/>
      <c r="N89" s="196"/>
      <c r="O89" s="196"/>
    </row>
    <row r="90" spans="2:15" ht="12">
      <c r="B90" s="7">
        <v>87</v>
      </c>
      <c r="C90" s="197"/>
      <c r="D90" s="198" t="s">
        <v>47</v>
      </c>
      <c r="E90" s="199">
        <v>48288.108899999999</v>
      </c>
      <c r="F90" s="199">
        <v>42741.340799999998</v>
      </c>
      <c r="G90" s="199">
        <v>46199.147100000002</v>
      </c>
      <c r="H90" s="199">
        <v>57445.336499999998</v>
      </c>
      <c r="I90" s="199">
        <v>53017.439299999998</v>
      </c>
      <c r="J90" s="199"/>
      <c r="K90" s="199"/>
      <c r="L90" s="199"/>
      <c r="M90" s="199"/>
      <c r="N90" s="199"/>
      <c r="O90" s="199"/>
    </row>
    <row r="91" spans="2:15" ht="15">
      <c r="B91" s="7">
        <v>88</v>
      </c>
      <c r="C91" s="146" t="s">
        <v>164</v>
      </c>
      <c r="D91" s="146"/>
      <c r="E91" s="147"/>
      <c r="F91" s="147"/>
      <c r="G91" s="147"/>
      <c r="H91" s="147"/>
      <c r="I91" s="147"/>
      <c r="J91" s="146"/>
      <c r="K91" s="146"/>
      <c r="L91" s="146"/>
      <c r="M91" s="146"/>
      <c r="N91" s="146"/>
      <c r="O91" s="146"/>
    </row>
    <row r="92" spans="2:15" ht="12.6">
      <c r="B92" s="7">
        <v>89</v>
      </c>
      <c r="C92" s="145"/>
      <c r="D92" s="145"/>
      <c r="E92" s="145"/>
      <c r="F92" s="145"/>
      <c r="G92" s="145"/>
      <c r="H92" s="145"/>
      <c r="I92" s="145"/>
      <c r="J92" s="145"/>
      <c r="K92" s="145"/>
      <c r="L92" s="145"/>
      <c r="M92" s="145"/>
      <c r="N92" s="145"/>
      <c r="O92" s="145"/>
    </row>
    <row r="93" spans="2:15">
      <c r="B93" s="7">
        <v>90</v>
      </c>
      <c r="C93" s="178"/>
      <c r="D93" s="179" t="s">
        <v>150</v>
      </c>
      <c r="E93" s="196">
        <v>0</v>
      </c>
      <c r="F93" s="196">
        <v>0</v>
      </c>
      <c r="G93" s="196">
        <v>0</v>
      </c>
      <c r="H93" s="196">
        <v>0</v>
      </c>
      <c r="I93" s="196">
        <v>0</v>
      </c>
      <c r="J93" s="196"/>
      <c r="K93" s="196"/>
      <c r="L93" s="196"/>
      <c r="M93" s="196"/>
      <c r="N93" s="196"/>
      <c r="O93" s="196"/>
    </row>
    <row r="94" spans="2:15">
      <c r="B94" s="7">
        <v>91</v>
      </c>
      <c r="C94" s="178"/>
      <c r="D94" s="179" t="s">
        <v>284</v>
      </c>
      <c r="E94" s="196">
        <v>0</v>
      </c>
      <c r="F94" s="196">
        <v>0</v>
      </c>
      <c r="G94" s="196">
        <v>0</v>
      </c>
      <c r="H94" s="196">
        <v>0</v>
      </c>
      <c r="I94" s="196">
        <v>0</v>
      </c>
      <c r="J94" s="196"/>
      <c r="K94" s="196"/>
      <c r="L94" s="196"/>
      <c r="M94" s="196"/>
      <c r="N94" s="196"/>
      <c r="O94" s="196"/>
    </row>
    <row r="95" spans="2:15" ht="24">
      <c r="B95" s="7">
        <v>92</v>
      </c>
      <c r="C95" s="200"/>
      <c r="D95" s="201" t="s">
        <v>151</v>
      </c>
      <c r="E95" s="202" t="s">
        <v>154</v>
      </c>
      <c r="F95" s="202" t="s">
        <v>154</v>
      </c>
      <c r="G95" s="202" t="s">
        <v>154</v>
      </c>
      <c r="H95" s="202" t="s">
        <v>154</v>
      </c>
      <c r="I95" s="202" t="s">
        <v>154</v>
      </c>
      <c r="J95" s="202"/>
      <c r="K95" s="202"/>
      <c r="L95" s="202"/>
      <c r="M95" s="202"/>
      <c r="N95" s="202"/>
      <c r="O95" s="202"/>
    </row>
    <row r="96" spans="2:15" ht="15">
      <c r="B96" s="7">
        <v>93</v>
      </c>
      <c r="C96" s="146" t="s">
        <v>164</v>
      </c>
      <c r="D96" s="146"/>
      <c r="E96" s="147"/>
      <c r="F96" s="147"/>
      <c r="G96" s="147"/>
      <c r="H96" s="147"/>
      <c r="I96" s="147"/>
      <c r="J96" s="146"/>
      <c r="K96" s="146"/>
      <c r="L96" s="146"/>
      <c r="M96" s="146"/>
      <c r="N96" s="146"/>
      <c r="O96" s="146"/>
    </row>
    <row r="97" spans="2:15" ht="12.6">
      <c r="B97" s="7">
        <v>94</v>
      </c>
      <c r="C97" s="145"/>
      <c r="D97" s="145"/>
      <c r="E97" s="145"/>
      <c r="F97" s="145"/>
      <c r="G97" s="145"/>
      <c r="H97" s="145"/>
      <c r="I97" s="145"/>
      <c r="J97" s="145"/>
      <c r="K97" s="145"/>
      <c r="L97" s="145"/>
      <c r="M97" s="145"/>
      <c r="N97" s="145"/>
      <c r="O97" s="145"/>
    </row>
    <row r="98" spans="2:15">
      <c r="B98" s="7">
        <v>95</v>
      </c>
      <c r="C98" s="178"/>
      <c r="D98" s="179" t="s">
        <v>48</v>
      </c>
      <c r="E98" s="196">
        <v>1942026.84</v>
      </c>
      <c r="F98" s="196">
        <v>1095768.26</v>
      </c>
      <c r="G98" s="196">
        <v>2094205.79</v>
      </c>
      <c r="H98" s="196">
        <v>3173619.27</v>
      </c>
      <c r="I98" s="196">
        <v>1978126.96</v>
      </c>
      <c r="J98" s="196"/>
      <c r="K98" s="196"/>
      <c r="L98" s="196"/>
      <c r="M98" s="196"/>
      <c r="N98" s="196"/>
      <c r="O98" s="196"/>
    </row>
    <row r="99" spans="2:15">
      <c r="B99" s="7">
        <v>96</v>
      </c>
      <c r="C99" s="178"/>
      <c r="D99" s="179" t="s">
        <v>49</v>
      </c>
      <c r="E99" s="196">
        <v>38.479999999999997</v>
      </c>
      <c r="F99" s="196">
        <v>20.420000000000002</v>
      </c>
      <c r="G99" s="196">
        <v>35.479999999999997</v>
      </c>
      <c r="H99" s="196">
        <v>58.57</v>
      </c>
      <c r="I99" s="196">
        <v>37.229999999999997</v>
      </c>
      <c r="J99" s="196"/>
      <c r="K99" s="196"/>
      <c r="L99" s="196"/>
      <c r="M99" s="196"/>
      <c r="N99" s="196"/>
      <c r="O99" s="196"/>
    </row>
    <row r="100" spans="2:15" ht="12">
      <c r="B100" s="7">
        <v>97</v>
      </c>
      <c r="C100" s="203"/>
      <c r="D100" s="204" t="s">
        <v>50</v>
      </c>
      <c r="E100" s="205">
        <v>50468.472999999998</v>
      </c>
      <c r="F100" s="205">
        <v>53661.521099999998</v>
      </c>
      <c r="G100" s="205">
        <v>59024.965900000003</v>
      </c>
      <c r="H100" s="205">
        <v>54185.065199999997</v>
      </c>
      <c r="I100" s="205">
        <v>53132.607000000004</v>
      </c>
      <c r="J100" s="205"/>
      <c r="K100" s="205"/>
      <c r="L100" s="205"/>
      <c r="M100" s="205"/>
      <c r="N100" s="205"/>
      <c r="O100" s="205"/>
    </row>
    <row r="101" spans="2:15" ht="15">
      <c r="B101" s="7">
        <v>98</v>
      </c>
      <c r="C101" s="146" t="s">
        <v>164</v>
      </c>
      <c r="D101" s="146"/>
      <c r="E101" s="147"/>
      <c r="F101" s="147"/>
      <c r="G101" s="147"/>
      <c r="H101" s="147"/>
      <c r="I101" s="147"/>
      <c r="J101" s="146"/>
      <c r="K101" s="146"/>
      <c r="L101" s="146"/>
      <c r="M101" s="146"/>
      <c r="N101" s="146"/>
      <c r="O101" s="146"/>
    </row>
    <row r="102" spans="2:15" ht="12.6">
      <c r="B102" s="7">
        <v>99</v>
      </c>
      <c r="C102" s="145"/>
      <c r="D102" s="145"/>
      <c r="E102" s="145"/>
      <c r="F102" s="145"/>
      <c r="G102" s="145"/>
      <c r="H102" s="145"/>
      <c r="I102" s="145"/>
      <c r="J102" s="145"/>
      <c r="K102" s="145"/>
      <c r="L102" s="145"/>
      <c r="M102" s="145"/>
      <c r="N102" s="145"/>
      <c r="O102" s="145"/>
    </row>
    <row r="103" spans="2:15">
      <c r="B103" s="7">
        <v>100</v>
      </c>
      <c r="C103" s="178"/>
      <c r="D103" s="179" t="s">
        <v>51</v>
      </c>
      <c r="E103" s="196">
        <v>731039.77</v>
      </c>
      <c r="F103" s="196">
        <v>688756.44</v>
      </c>
      <c r="G103" s="196">
        <v>988673.67</v>
      </c>
      <c r="H103" s="196">
        <v>964618.93</v>
      </c>
      <c r="I103" s="196">
        <v>766441.54</v>
      </c>
      <c r="J103" s="196"/>
      <c r="K103" s="196"/>
      <c r="L103" s="196"/>
      <c r="M103" s="196"/>
      <c r="N103" s="196"/>
      <c r="O103" s="196"/>
    </row>
    <row r="104" spans="2:15">
      <c r="B104" s="7">
        <v>101</v>
      </c>
      <c r="C104" s="178"/>
      <c r="D104" s="179" t="s">
        <v>52</v>
      </c>
      <c r="E104" s="196">
        <v>17.23</v>
      </c>
      <c r="F104" s="196">
        <v>51.03</v>
      </c>
      <c r="G104" s="196">
        <v>20.62</v>
      </c>
      <c r="H104" s="196">
        <v>14.19</v>
      </c>
      <c r="I104" s="196">
        <v>12.08</v>
      </c>
      <c r="J104" s="196"/>
      <c r="K104" s="196"/>
      <c r="L104" s="196"/>
      <c r="M104" s="196"/>
      <c r="N104" s="196"/>
      <c r="O104" s="196"/>
    </row>
    <row r="105" spans="2:15" ht="12">
      <c r="B105" s="7">
        <v>102</v>
      </c>
      <c r="C105" s="206"/>
      <c r="D105" s="207" t="s">
        <v>53</v>
      </c>
      <c r="E105" s="208">
        <v>42428.309300000001</v>
      </c>
      <c r="F105" s="208">
        <v>13497.0888</v>
      </c>
      <c r="G105" s="208">
        <v>47947.316700000003</v>
      </c>
      <c r="H105" s="208">
        <v>67978.782900000006</v>
      </c>
      <c r="I105" s="208">
        <v>63447.147400000002</v>
      </c>
      <c r="J105" s="208"/>
      <c r="K105" s="208"/>
      <c r="L105" s="208"/>
      <c r="M105" s="208"/>
      <c r="N105" s="208"/>
      <c r="O105" s="208"/>
    </row>
    <row r="106" spans="2:15" ht="15">
      <c r="B106" s="7">
        <v>103</v>
      </c>
      <c r="C106" s="146" t="s">
        <v>164</v>
      </c>
      <c r="D106" s="146"/>
      <c r="E106" s="147"/>
      <c r="F106" s="147"/>
      <c r="G106" s="147"/>
      <c r="H106" s="147"/>
      <c r="I106" s="147"/>
      <c r="J106" s="146"/>
      <c r="K106" s="146"/>
      <c r="L106" s="146"/>
      <c r="M106" s="146"/>
      <c r="N106" s="146"/>
      <c r="O106" s="146"/>
    </row>
    <row r="107" spans="2:15" ht="12.6">
      <c r="B107" s="7">
        <v>104</v>
      </c>
      <c r="C107" s="145"/>
      <c r="D107" s="145"/>
      <c r="E107" s="145"/>
      <c r="F107" s="145"/>
      <c r="G107" s="145"/>
      <c r="H107" s="145"/>
      <c r="I107" s="145"/>
      <c r="J107" s="145"/>
      <c r="K107" s="145"/>
      <c r="L107" s="145"/>
      <c r="M107" s="145"/>
      <c r="N107" s="145"/>
      <c r="O107" s="145"/>
    </row>
    <row r="108" spans="2:15">
      <c r="B108" s="7">
        <v>105</v>
      </c>
      <c r="C108" s="178"/>
      <c r="D108" s="179" t="s">
        <v>54</v>
      </c>
      <c r="E108" s="196">
        <v>2673066.61</v>
      </c>
      <c r="F108" s="196">
        <v>1784524.7</v>
      </c>
      <c r="G108" s="196">
        <v>3082879.46</v>
      </c>
      <c r="H108" s="196">
        <v>4138238.2</v>
      </c>
      <c r="I108" s="196">
        <v>2744568.5</v>
      </c>
      <c r="J108" s="196"/>
      <c r="K108" s="196"/>
      <c r="L108" s="196"/>
      <c r="M108" s="196"/>
      <c r="N108" s="196"/>
      <c r="O108" s="196"/>
    </row>
    <row r="109" spans="2:15">
      <c r="B109" s="7">
        <v>106</v>
      </c>
      <c r="C109" s="178"/>
      <c r="D109" s="179" t="s">
        <v>55</v>
      </c>
      <c r="E109" s="196">
        <v>55.71</v>
      </c>
      <c r="F109" s="196">
        <v>71.45</v>
      </c>
      <c r="G109" s="196">
        <v>56.1</v>
      </c>
      <c r="H109" s="196">
        <v>72.760000000000005</v>
      </c>
      <c r="I109" s="196">
        <v>49.31</v>
      </c>
      <c r="J109" s="196"/>
      <c r="K109" s="196"/>
      <c r="L109" s="196"/>
      <c r="M109" s="196"/>
      <c r="N109" s="196"/>
      <c r="O109" s="196"/>
    </row>
    <row r="110" spans="2:15" ht="12">
      <c r="B110" s="7">
        <v>107</v>
      </c>
      <c r="C110" s="209"/>
      <c r="D110" s="210" t="s">
        <v>56</v>
      </c>
      <c r="E110" s="211">
        <v>47981.809500000003</v>
      </c>
      <c r="F110" s="211">
        <v>24975.852999999999</v>
      </c>
      <c r="G110" s="211">
        <v>54953.288099999998</v>
      </c>
      <c r="H110" s="211">
        <v>56875.181400000001</v>
      </c>
      <c r="I110" s="211">
        <v>55659.470699999998</v>
      </c>
      <c r="J110" s="211"/>
      <c r="K110" s="211"/>
      <c r="L110" s="211"/>
      <c r="M110" s="211"/>
      <c r="N110" s="211"/>
      <c r="O110" s="211"/>
    </row>
    <row r="111" spans="2:15" ht="15">
      <c r="B111" s="7">
        <v>108</v>
      </c>
      <c r="C111" s="146" t="s">
        <v>164</v>
      </c>
      <c r="D111" s="146"/>
      <c r="E111" s="147"/>
      <c r="F111" s="147"/>
      <c r="G111" s="147"/>
      <c r="H111" s="147"/>
      <c r="I111" s="147"/>
      <c r="J111" s="146"/>
      <c r="K111" s="146"/>
      <c r="L111" s="146"/>
      <c r="M111" s="146"/>
      <c r="N111" s="146"/>
      <c r="O111" s="146"/>
    </row>
    <row r="112" spans="2:15" ht="12.6">
      <c r="B112" s="7">
        <v>109</v>
      </c>
      <c r="C112" s="145"/>
      <c r="D112" s="145"/>
      <c r="E112" s="145"/>
      <c r="F112" s="145"/>
      <c r="G112" s="145"/>
      <c r="H112" s="145"/>
      <c r="I112" s="145"/>
      <c r="J112" s="145"/>
      <c r="K112" s="145"/>
      <c r="L112" s="145"/>
      <c r="M112" s="145"/>
      <c r="N112" s="145"/>
      <c r="O112" s="145"/>
    </row>
    <row r="113" spans="2:15" ht="24">
      <c r="B113" s="7">
        <v>110</v>
      </c>
      <c r="C113" s="212"/>
      <c r="D113" s="213" t="s">
        <v>219</v>
      </c>
      <c r="E113" s="214" t="s">
        <v>154</v>
      </c>
      <c r="F113" s="214" t="s">
        <v>154</v>
      </c>
      <c r="G113" s="214" t="s">
        <v>154</v>
      </c>
      <c r="H113" s="214" t="s">
        <v>154</v>
      </c>
      <c r="I113" s="214" t="s">
        <v>154</v>
      </c>
      <c r="J113" s="214"/>
      <c r="K113" s="214"/>
      <c r="L113" s="214"/>
      <c r="M113" s="214"/>
      <c r="N113" s="214"/>
      <c r="O113" s="214"/>
    </row>
    <row r="114" spans="2:15">
      <c r="B114" s="7">
        <v>111</v>
      </c>
      <c r="C114" s="178" t="s">
        <v>212</v>
      </c>
      <c r="D114" s="179" t="s">
        <v>213</v>
      </c>
      <c r="E114" s="180">
        <v>117676.43</v>
      </c>
      <c r="F114" s="180">
        <v>64398.82</v>
      </c>
      <c r="G114" s="180">
        <v>87036.55</v>
      </c>
      <c r="H114" s="180">
        <v>151709.35</v>
      </c>
      <c r="I114" s="180">
        <v>79525.52</v>
      </c>
      <c r="J114" s="180"/>
      <c r="K114" s="180"/>
      <c r="L114" s="180"/>
      <c r="M114" s="180"/>
      <c r="N114" s="180"/>
      <c r="O114" s="180"/>
    </row>
    <row r="115" spans="2:15">
      <c r="B115" s="7">
        <v>112</v>
      </c>
      <c r="C115" s="178" t="s">
        <v>214</v>
      </c>
      <c r="D115" s="179" t="s">
        <v>215</v>
      </c>
      <c r="E115" s="180">
        <v>894566.59</v>
      </c>
      <c r="F115" s="180">
        <v>501350.6</v>
      </c>
      <c r="G115" s="180">
        <v>710608.34</v>
      </c>
      <c r="H115" s="180">
        <v>1212746.72</v>
      </c>
      <c r="I115" s="180">
        <v>775322.52</v>
      </c>
      <c r="J115" s="180"/>
      <c r="K115" s="180"/>
      <c r="L115" s="180"/>
      <c r="M115" s="180"/>
      <c r="N115" s="180"/>
      <c r="O115" s="180"/>
    </row>
    <row r="116" spans="2:15">
      <c r="B116" s="7">
        <v>113</v>
      </c>
      <c r="C116" s="178" t="s">
        <v>220</v>
      </c>
      <c r="D116" s="179" t="s">
        <v>221</v>
      </c>
      <c r="E116" s="180">
        <v>199627.36</v>
      </c>
      <c r="F116" s="180">
        <v>168155.18</v>
      </c>
      <c r="G116" s="180">
        <v>258862.59</v>
      </c>
      <c r="H116" s="180">
        <v>311123.73</v>
      </c>
      <c r="I116" s="180">
        <v>195163.07</v>
      </c>
      <c r="J116" s="180"/>
      <c r="K116" s="180"/>
      <c r="L116" s="180"/>
      <c r="M116" s="180"/>
      <c r="N116" s="180"/>
      <c r="O116" s="180"/>
    </row>
    <row r="117" spans="2:15">
      <c r="B117" s="7">
        <v>114</v>
      </c>
      <c r="C117" s="178" t="s">
        <v>216</v>
      </c>
      <c r="D117" s="179" t="s">
        <v>217</v>
      </c>
      <c r="E117" s="180">
        <v>168525.5</v>
      </c>
      <c r="F117" s="180">
        <v>95313.19</v>
      </c>
      <c r="G117" s="180">
        <v>188492.52</v>
      </c>
      <c r="H117" s="180">
        <v>244142.68</v>
      </c>
      <c r="I117" s="180">
        <v>126711.67999999999</v>
      </c>
      <c r="J117" s="180"/>
      <c r="K117" s="180"/>
      <c r="L117" s="180"/>
      <c r="M117" s="180"/>
      <c r="N117" s="180"/>
      <c r="O117" s="180"/>
    </row>
    <row r="118" spans="2:15">
      <c r="B118" s="7">
        <v>115</v>
      </c>
      <c r="C118" s="178" t="s">
        <v>222</v>
      </c>
      <c r="D118" s="179" t="s">
        <v>223</v>
      </c>
      <c r="E118" s="180" t="s">
        <v>154</v>
      </c>
      <c r="F118" s="180" t="s">
        <v>154</v>
      </c>
      <c r="G118" s="180" t="s">
        <v>154</v>
      </c>
      <c r="H118" s="180" t="s">
        <v>154</v>
      </c>
      <c r="I118" s="180" t="s">
        <v>154</v>
      </c>
      <c r="J118" s="180"/>
      <c r="K118" s="180"/>
      <c r="L118" s="180"/>
      <c r="M118" s="180"/>
      <c r="N118" s="180"/>
      <c r="O118" s="180"/>
    </row>
    <row r="119" spans="2:15">
      <c r="B119" s="7">
        <v>116</v>
      </c>
      <c r="C119" s="178" t="s">
        <v>224</v>
      </c>
      <c r="D119" s="179" t="s">
        <v>225</v>
      </c>
      <c r="E119" s="180">
        <v>207.52</v>
      </c>
      <c r="F119" s="180">
        <v>178.48</v>
      </c>
      <c r="G119" s="180">
        <v>292.42</v>
      </c>
      <c r="H119" s="180">
        <v>339.23</v>
      </c>
      <c r="I119" s="180">
        <v>174.87</v>
      </c>
      <c r="J119" s="180"/>
      <c r="K119" s="180"/>
      <c r="L119" s="180"/>
      <c r="M119" s="180"/>
      <c r="N119" s="180"/>
      <c r="O119" s="180"/>
    </row>
    <row r="120" spans="2:15">
      <c r="B120" s="7">
        <v>117</v>
      </c>
      <c r="C120" s="178" t="s">
        <v>226</v>
      </c>
      <c r="D120" s="179" t="s">
        <v>227</v>
      </c>
      <c r="E120" s="180">
        <v>13711.24</v>
      </c>
      <c r="F120" s="180">
        <v>8138.38</v>
      </c>
      <c r="G120" s="180">
        <v>14155.73</v>
      </c>
      <c r="H120" s="180">
        <v>18879.650000000001</v>
      </c>
      <c r="I120" s="180">
        <v>13238.71</v>
      </c>
      <c r="J120" s="180"/>
      <c r="K120" s="180"/>
      <c r="L120" s="180"/>
      <c r="M120" s="180"/>
      <c r="N120" s="180"/>
      <c r="O120" s="180"/>
    </row>
    <row r="121" spans="2:15">
      <c r="B121" s="7">
        <v>118</v>
      </c>
      <c r="C121" s="178" t="s">
        <v>228</v>
      </c>
      <c r="D121" s="179" t="s">
        <v>229</v>
      </c>
      <c r="E121" s="180">
        <v>1942819.01</v>
      </c>
      <c r="F121" s="180">
        <v>1096368.24</v>
      </c>
      <c r="G121" s="180">
        <v>2095085.52</v>
      </c>
      <c r="H121" s="180">
        <v>3174845.19</v>
      </c>
      <c r="I121" s="180">
        <v>1978942.38</v>
      </c>
      <c r="J121" s="180"/>
      <c r="K121" s="180"/>
      <c r="L121" s="180"/>
      <c r="M121" s="180"/>
      <c r="N121" s="180"/>
      <c r="O121" s="180"/>
    </row>
    <row r="122" spans="2:15">
      <c r="B122" s="7">
        <v>119</v>
      </c>
      <c r="C122" s="178" t="s">
        <v>230</v>
      </c>
      <c r="D122" s="179" t="s">
        <v>231</v>
      </c>
      <c r="E122" s="180">
        <v>4609.7299999999996</v>
      </c>
      <c r="F122" s="180">
        <v>2525.66</v>
      </c>
      <c r="G122" s="180">
        <v>4146.62</v>
      </c>
      <c r="H122" s="180">
        <v>6957.68</v>
      </c>
      <c r="I122" s="180">
        <v>3435.76</v>
      </c>
      <c r="J122" s="180"/>
      <c r="K122" s="180"/>
      <c r="L122" s="180"/>
      <c r="M122" s="180"/>
      <c r="N122" s="180"/>
      <c r="O122" s="180"/>
    </row>
    <row r="123" spans="2:15">
      <c r="B123" s="7">
        <v>120</v>
      </c>
      <c r="C123" s="178" t="s">
        <v>232</v>
      </c>
      <c r="D123" s="179" t="s">
        <v>233</v>
      </c>
      <c r="E123" s="180">
        <v>731039.77</v>
      </c>
      <c r="F123" s="180">
        <v>688756.44</v>
      </c>
      <c r="G123" s="180">
        <v>988673.67</v>
      </c>
      <c r="H123" s="180">
        <v>964618.93</v>
      </c>
      <c r="I123" s="180">
        <v>766441.54</v>
      </c>
      <c r="J123" s="180"/>
      <c r="K123" s="180"/>
      <c r="L123" s="180"/>
      <c r="M123" s="180"/>
      <c r="N123" s="180"/>
      <c r="O123" s="180"/>
    </row>
    <row r="124" spans="2:15">
      <c r="B124" s="7">
        <v>121</v>
      </c>
      <c r="C124" s="178" t="s">
        <v>178</v>
      </c>
      <c r="D124" s="179" t="s">
        <v>179</v>
      </c>
      <c r="E124" s="180" t="s">
        <v>154</v>
      </c>
      <c r="F124" s="180" t="s">
        <v>154</v>
      </c>
      <c r="G124" s="180" t="s">
        <v>154</v>
      </c>
      <c r="H124" s="180" t="s">
        <v>154</v>
      </c>
      <c r="I124" s="180" t="s">
        <v>154</v>
      </c>
      <c r="J124" s="180"/>
      <c r="K124" s="180"/>
      <c r="L124" s="180"/>
      <c r="M124" s="180"/>
      <c r="N124" s="180"/>
      <c r="O124" s="180"/>
    </row>
    <row r="125" spans="2:15" ht="15">
      <c r="B125" s="7">
        <v>122</v>
      </c>
      <c r="C125" s="146" t="s">
        <v>164</v>
      </c>
      <c r="D125" s="146"/>
      <c r="E125" s="147"/>
      <c r="F125" s="147"/>
      <c r="G125" s="147"/>
      <c r="H125" s="147"/>
      <c r="I125" s="147"/>
      <c r="J125" s="146"/>
      <c r="K125" s="146"/>
      <c r="L125" s="146"/>
      <c r="M125" s="146"/>
      <c r="N125" s="146"/>
      <c r="O125" s="146"/>
    </row>
    <row r="126" spans="2:15" ht="12.6">
      <c r="B126" s="7">
        <v>123</v>
      </c>
      <c r="C126" s="145"/>
      <c r="D126" s="145"/>
      <c r="E126" s="145"/>
      <c r="F126" s="145"/>
      <c r="G126" s="145"/>
      <c r="H126" s="145"/>
      <c r="I126" s="145"/>
      <c r="J126" s="145"/>
      <c r="K126" s="145"/>
      <c r="L126" s="145"/>
      <c r="M126" s="145"/>
      <c r="N126" s="145"/>
      <c r="O126" s="145"/>
    </row>
    <row r="127" spans="2:15" ht="24">
      <c r="B127" s="7">
        <v>124</v>
      </c>
      <c r="C127" s="212"/>
      <c r="D127" s="213" t="s">
        <v>177</v>
      </c>
      <c r="E127" s="214" t="s">
        <v>154</v>
      </c>
      <c r="F127" s="214" t="s">
        <v>154</v>
      </c>
      <c r="G127" s="214" t="s">
        <v>154</v>
      </c>
      <c r="H127" s="214" t="s">
        <v>154</v>
      </c>
      <c r="I127" s="214" t="s">
        <v>154</v>
      </c>
      <c r="J127" s="214"/>
      <c r="K127" s="214"/>
      <c r="L127" s="214"/>
      <c r="M127" s="214"/>
      <c r="N127" s="214"/>
      <c r="O127" s="214"/>
    </row>
    <row r="128" spans="2:15" ht="22.8">
      <c r="B128" s="7">
        <v>125</v>
      </c>
      <c r="C128" s="178" t="s">
        <v>180</v>
      </c>
      <c r="D128" s="179" t="s">
        <v>181</v>
      </c>
      <c r="E128" s="180" t="s">
        <v>154</v>
      </c>
      <c r="F128" s="180" t="s">
        <v>154</v>
      </c>
      <c r="G128" s="180" t="s">
        <v>154</v>
      </c>
      <c r="H128" s="180" t="s">
        <v>154</v>
      </c>
      <c r="I128" s="180" t="s">
        <v>154</v>
      </c>
      <c r="J128" s="180"/>
      <c r="K128" s="180"/>
      <c r="L128" s="180"/>
      <c r="M128" s="180"/>
      <c r="N128" s="180"/>
      <c r="O128" s="180"/>
    </row>
    <row r="129" spans="1:15">
      <c r="B129" s="7">
        <v>126</v>
      </c>
      <c r="C129" s="178" t="s">
        <v>182</v>
      </c>
      <c r="D129" s="179" t="s">
        <v>183</v>
      </c>
      <c r="E129" s="180">
        <v>176318.46</v>
      </c>
      <c r="F129" s="180">
        <v>96159.21</v>
      </c>
      <c r="G129" s="180">
        <v>197208.77</v>
      </c>
      <c r="H129" s="180">
        <v>269890.74</v>
      </c>
      <c r="I129" s="180">
        <v>123321.93</v>
      </c>
      <c r="J129" s="180"/>
      <c r="K129" s="180"/>
      <c r="L129" s="180"/>
      <c r="M129" s="180"/>
      <c r="N129" s="180"/>
      <c r="O129" s="180"/>
    </row>
    <row r="130" spans="1:15">
      <c r="B130" s="7">
        <v>127</v>
      </c>
      <c r="C130" s="178" t="s">
        <v>184</v>
      </c>
      <c r="D130" s="179" t="s">
        <v>185</v>
      </c>
      <c r="E130" s="180">
        <v>3527.61</v>
      </c>
      <c r="F130" s="180">
        <v>1887.93</v>
      </c>
      <c r="G130" s="180">
        <v>2722</v>
      </c>
      <c r="H130" s="180">
        <v>3755.57</v>
      </c>
      <c r="I130" s="180">
        <v>2230.86</v>
      </c>
      <c r="J130" s="180"/>
      <c r="K130" s="180"/>
      <c r="L130" s="180"/>
      <c r="M130" s="180"/>
      <c r="N130" s="180"/>
      <c r="O130" s="180"/>
    </row>
    <row r="131" spans="1:15">
      <c r="B131" s="7">
        <v>128</v>
      </c>
      <c r="C131" s="178" t="s">
        <v>186</v>
      </c>
      <c r="D131" s="179" t="s">
        <v>187</v>
      </c>
      <c r="E131" s="180">
        <v>547.41999999999996</v>
      </c>
      <c r="F131" s="180">
        <v>267.60000000000002</v>
      </c>
      <c r="G131" s="180">
        <v>471.2</v>
      </c>
      <c r="H131" s="180">
        <v>616.44000000000005</v>
      </c>
      <c r="I131" s="180">
        <v>355.29</v>
      </c>
      <c r="J131" s="180"/>
      <c r="K131" s="180"/>
      <c r="L131" s="180"/>
      <c r="M131" s="180"/>
      <c r="N131" s="180"/>
      <c r="O131" s="180"/>
    </row>
    <row r="132" spans="1:15">
      <c r="B132" s="7">
        <v>129</v>
      </c>
      <c r="C132" s="178" t="s">
        <v>188</v>
      </c>
      <c r="D132" s="179" t="s">
        <v>189</v>
      </c>
      <c r="E132" s="180">
        <v>240.39</v>
      </c>
      <c r="F132" s="180">
        <v>203.05</v>
      </c>
      <c r="G132" s="180">
        <v>243.97</v>
      </c>
      <c r="H132" s="180">
        <v>353.79</v>
      </c>
      <c r="I132" s="180">
        <v>221.92</v>
      </c>
      <c r="J132" s="180"/>
      <c r="K132" s="180"/>
      <c r="L132" s="180"/>
      <c r="M132" s="180"/>
      <c r="N132" s="180"/>
      <c r="O132" s="180"/>
    </row>
    <row r="133" spans="1:15">
      <c r="B133" s="7">
        <v>130</v>
      </c>
      <c r="C133" s="178" t="s">
        <v>190</v>
      </c>
      <c r="D133" s="179" t="s">
        <v>191</v>
      </c>
      <c r="E133" s="180">
        <v>160.78</v>
      </c>
      <c r="F133" s="180">
        <v>112</v>
      </c>
      <c r="G133" s="180">
        <v>197.23</v>
      </c>
      <c r="H133" s="180">
        <v>235.03</v>
      </c>
      <c r="I133" s="180">
        <v>145.43</v>
      </c>
      <c r="J133" s="180"/>
      <c r="K133" s="180"/>
      <c r="L133" s="180"/>
      <c r="M133" s="180"/>
      <c r="N133" s="180"/>
      <c r="O133" s="180"/>
    </row>
    <row r="134" spans="1:15">
      <c r="B134" s="7">
        <v>131</v>
      </c>
      <c r="C134" s="178" t="s">
        <v>192</v>
      </c>
      <c r="D134" s="179" t="s">
        <v>193</v>
      </c>
      <c r="E134" s="180" t="s">
        <v>154</v>
      </c>
      <c r="F134" s="180" t="s">
        <v>154</v>
      </c>
      <c r="G134" s="180" t="s">
        <v>154</v>
      </c>
      <c r="H134" s="180" t="s">
        <v>154</v>
      </c>
      <c r="I134" s="180" t="s">
        <v>154</v>
      </c>
      <c r="J134" s="180"/>
      <c r="K134" s="180"/>
      <c r="L134" s="180"/>
      <c r="M134" s="180"/>
      <c r="N134" s="180"/>
      <c r="O134" s="180"/>
    </row>
    <row r="135" spans="1:15">
      <c r="B135" s="7">
        <v>132</v>
      </c>
      <c r="C135" s="178" t="s">
        <v>194</v>
      </c>
      <c r="D135" s="179" t="s">
        <v>195</v>
      </c>
      <c r="E135" s="180">
        <v>901978.11</v>
      </c>
      <c r="F135" s="180">
        <v>588904.9</v>
      </c>
      <c r="G135" s="180">
        <v>1059540.18</v>
      </c>
      <c r="H135" s="180">
        <v>1258699.1200000001</v>
      </c>
      <c r="I135" s="180">
        <v>796531.45</v>
      </c>
      <c r="J135" s="180"/>
      <c r="K135" s="180"/>
      <c r="L135" s="180"/>
      <c r="M135" s="180"/>
      <c r="N135" s="180"/>
      <c r="O135" s="180"/>
    </row>
    <row r="136" spans="1:15">
      <c r="B136" s="7">
        <v>133</v>
      </c>
      <c r="C136" s="178" t="s">
        <v>196</v>
      </c>
      <c r="D136" s="179" t="s">
        <v>197</v>
      </c>
      <c r="E136" s="180">
        <v>414158.11</v>
      </c>
      <c r="F136" s="180">
        <v>198935.21</v>
      </c>
      <c r="G136" s="180">
        <v>392073.87</v>
      </c>
      <c r="H136" s="180">
        <v>517739.17</v>
      </c>
      <c r="I136" s="180">
        <v>274319.53999999998</v>
      </c>
      <c r="J136" s="180"/>
      <c r="K136" s="180"/>
      <c r="L136" s="180"/>
      <c r="M136" s="180"/>
      <c r="N136" s="180"/>
      <c r="O136" s="180"/>
    </row>
    <row r="137" spans="1:15">
      <c r="B137" s="7">
        <v>134</v>
      </c>
      <c r="C137" s="178" t="s">
        <v>198</v>
      </c>
      <c r="D137" s="179" t="s">
        <v>199</v>
      </c>
      <c r="E137" s="180">
        <v>159825.98000000001</v>
      </c>
      <c r="F137" s="180">
        <v>91366.69</v>
      </c>
      <c r="G137" s="180">
        <v>145858.47</v>
      </c>
      <c r="H137" s="180">
        <v>173995.04</v>
      </c>
      <c r="I137" s="180">
        <v>132692.91</v>
      </c>
      <c r="J137" s="180"/>
      <c r="K137" s="180"/>
      <c r="L137" s="180"/>
      <c r="M137" s="180"/>
      <c r="N137" s="180"/>
      <c r="O137" s="180"/>
    </row>
    <row r="138" spans="1:15">
      <c r="B138" s="7">
        <v>135</v>
      </c>
      <c r="C138" s="178" t="s">
        <v>200</v>
      </c>
      <c r="D138" s="179" t="s">
        <v>201</v>
      </c>
      <c r="E138" s="180" t="s">
        <v>154</v>
      </c>
      <c r="F138" s="180" t="s">
        <v>154</v>
      </c>
      <c r="G138" s="180" t="s">
        <v>154</v>
      </c>
      <c r="H138" s="180" t="s">
        <v>154</v>
      </c>
      <c r="I138" s="180" t="s">
        <v>154</v>
      </c>
      <c r="J138" s="180"/>
      <c r="K138" s="180"/>
      <c r="L138" s="180"/>
      <c r="M138" s="180"/>
      <c r="N138" s="180"/>
      <c r="O138" s="180"/>
    </row>
    <row r="139" spans="1:15">
      <c r="B139" s="7">
        <v>136</v>
      </c>
      <c r="C139" s="178" t="s">
        <v>202</v>
      </c>
      <c r="D139" s="179" t="s">
        <v>203</v>
      </c>
      <c r="E139" s="180" t="s">
        <v>154</v>
      </c>
      <c r="F139" s="180" t="s">
        <v>154</v>
      </c>
      <c r="G139" s="180" t="s">
        <v>154</v>
      </c>
      <c r="H139" s="180" t="s">
        <v>154</v>
      </c>
      <c r="I139" s="180" t="s">
        <v>154</v>
      </c>
      <c r="J139" s="180"/>
      <c r="K139" s="180"/>
      <c r="L139" s="180"/>
      <c r="M139" s="180"/>
      <c r="N139" s="180"/>
      <c r="O139" s="180"/>
    </row>
    <row r="140" spans="1:15">
      <c r="B140" s="7">
        <v>137</v>
      </c>
      <c r="C140" s="178" t="s">
        <v>204</v>
      </c>
      <c r="D140" s="179" t="s">
        <v>205</v>
      </c>
      <c r="E140" s="180">
        <v>2513.69</v>
      </c>
      <c r="F140" s="180">
        <v>1380.7</v>
      </c>
      <c r="G140" s="180">
        <v>1860.85</v>
      </c>
      <c r="H140" s="180">
        <v>3279.05</v>
      </c>
      <c r="I140" s="180">
        <v>1936.27</v>
      </c>
      <c r="J140" s="180"/>
      <c r="K140" s="180"/>
      <c r="L140" s="180"/>
      <c r="M140" s="180"/>
      <c r="N140" s="180"/>
      <c r="O140" s="180"/>
    </row>
    <row r="141" spans="1:15">
      <c r="B141" s="7">
        <v>138</v>
      </c>
      <c r="C141" s="178" t="s">
        <v>206</v>
      </c>
      <c r="D141" s="179" t="s">
        <v>207</v>
      </c>
      <c r="E141" s="180" t="s">
        <v>154</v>
      </c>
      <c r="F141" s="180" t="s">
        <v>154</v>
      </c>
      <c r="G141" s="180" t="s">
        <v>154</v>
      </c>
      <c r="H141" s="180" t="s">
        <v>154</v>
      </c>
      <c r="I141" s="180" t="s">
        <v>154</v>
      </c>
      <c r="J141" s="180"/>
      <c r="K141" s="180"/>
      <c r="L141" s="180"/>
      <c r="M141" s="180"/>
      <c r="N141" s="180"/>
      <c r="O141" s="180"/>
    </row>
    <row r="142" spans="1:15" ht="22.8">
      <c r="B142" s="7">
        <v>139</v>
      </c>
      <c r="C142" s="178" t="s">
        <v>208</v>
      </c>
      <c r="D142" s="179" t="s">
        <v>209</v>
      </c>
      <c r="E142" s="180" t="s">
        <v>154</v>
      </c>
      <c r="F142" s="180" t="s">
        <v>154</v>
      </c>
      <c r="G142" s="180" t="s">
        <v>154</v>
      </c>
      <c r="H142" s="180" t="s">
        <v>154</v>
      </c>
      <c r="I142" s="180" t="s">
        <v>154</v>
      </c>
      <c r="J142" s="180"/>
      <c r="K142" s="180"/>
      <c r="L142" s="180"/>
      <c r="M142" s="180"/>
      <c r="N142" s="180"/>
      <c r="O142" s="180"/>
    </row>
    <row r="143" spans="1:15" ht="22.8">
      <c r="B143" s="7">
        <v>140</v>
      </c>
      <c r="C143" s="178" t="s">
        <v>210</v>
      </c>
      <c r="D143" s="179" t="s">
        <v>211</v>
      </c>
      <c r="E143" s="180">
        <v>3275.71</v>
      </c>
      <c r="F143" s="180">
        <v>1665.29</v>
      </c>
      <c r="G143" s="180">
        <v>3564.57</v>
      </c>
      <c r="H143" s="180">
        <v>4946.76</v>
      </c>
      <c r="I143" s="180">
        <v>2953.5</v>
      </c>
      <c r="J143" s="180"/>
      <c r="K143" s="180"/>
      <c r="L143" s="180"/>
      <c r="M143" s="180"/>
      <c r="N143" s="180"/>
      <c r="O143" s="180"/>
    </row>
    <row r="144" spans="1:15">
      <c r="A144" s="151"/>
      <c r="B144" s="7">
        <v>141</v>
      </c>
      <c r="C144" s="152"/>
      <c r="D144" s="151"/>
      <c r="E144" s="151"/>
      <c r="F144" s="153"/>
      <c r="G144" s="153"/>
      <c r="H144" s="153"/>
      <c r="I144" s="153"/>
      <c r="J144" s="153"/>
      <c r="K144" s="153"/>
      <c r="L144" s="153"/>
      <c r="M144" s="153"/>
      <c r="N144" s="153"/>
      <c r="O144" s="153"/>
    </row>
    <row r="145" spans="1:17">
      <c r="A145" s="151"/>
      <c r="B145" s="7">
        <v>142</v>
      </c>
      <c r="C145" s="152"/>
      <c r="D145" s="151"/>
      <c r="E145" s="151"/>
      <c r="F145" s="153"/>
      <c r="G145" s="153"/>
      <c r="H145" s="153"/>
      <c r="I145" s="153"/>
      <c r="J145" s="153"/>
      <c r="K145" s="153"/>
      <c r="L145" s="153"/>
      <c r="M145" s="153"/>
      <c r="N145" s="153"/>
      <c r="O145" s="153"/>
    </row>
    <row r="146" spans="1:17">
      <c r="B146" s="7">
        <v>143</v>
      </c>
    </row>
    <row r="147" spans="1:17">
      <c r="B147" s="7">
        <v>144</v>
      </c>
    </row>
    <row r="148" spans="1:17">
      <c r="B148" s="7">
        <v>145</v>
      </c>
      <c r="F148" s="3"/>
      <c r="G148" s="3"/>
      <c r="H148" s="3"/>
      <c r="I148" s="3"/>
      <c r="J148" s="3"/>
      <c r="K148" s="3"/>
    </row>
    <row r="149" spans="1:17" ht="22.8">
      <c r="B149" s="7">
        <v>146</v>
      </c>
      <c r="E149" s="178" t="s">
        <v>286</v>
      </c>
      <c r="F149" s="178" t="s">
        <v>287</v>
      </c>
      <c r="G149" s="178" t="s">
        <v>288</v>
      </c>
      <c r="H149" s="178" t="s">
        <v>289</v>
      </c>
      <c r="I149" s="178" t="s">
        <v>290</v>
      </c>
      <c r="L149" s="4"/>
      <c r="M149" s="4"/>
      <c r="N149" s="4"/>
      <c r="O149" s="4"/>
      <c r="Q149" s="222"/>
    </row>
    <row r="150" spans="1:17">
      <c r="B150" s="7">
        <v>147</v>
      </c>
      <c r="C150" s="3"/>
      <c r="D150" s="155" t="s">
        <v>174</v>
      </c>
      <c r="E150" s="178" t="s">
        <v>176</v>
      </c>
      <c r="F150" s="178" t="s">
        <v>176</v>
      </c>
      <c r="G150" s="178" t="s">
        <v>176</v>
      </c>
      <c r="H150" s="178" t="s">
        <v>176</v>
      </c>
      <c r="I150" s="178" t="s">
        <v>176</v>
      </c>
      <c r="J150" s="154"/>
      <c r="K150" s="154"/>
      <c r="L150" s="154"/>
      <c r="M150" s="154"/>
      <c r="N150" s="154"/>
      <c r="O150" s="154"/>
      <c r="Q150" s="222"/>
    </row>
    <row r="151" spans="1:17">
      <c r="B151" s="7">
        <v>148</v>
      </c>
      <c r="C151" s="3"/>
      <c r="D151" s="155" t="s">
        <v>175</v>
      </c>
      <c r="E151" s="178" t="s">
        <v>291</v>
      </c>
      <c r="F151" s="178" t="s">
        <v>291</v>
      </c>
      <c r="G151" s="178" t="s">
        <v>291</v>
      </c>
      <c r="H151" s="178" t="s">
        <v>291</v>
      </c>
      <c r="I151" s="178" t="s">
        <v>291</v>
      </c>
      <c r="J151" s="154"/>
      <c r="K151" s="154"/>
      <c r="L151" s="154"/>
      <c r="M151" s="154"/>
      <c r="N151" s="154"/>
      <c r="O151" s="154"/>
      <c r="Q151" s="222"/>
    </row>
    <row r="152" spans="1:17">
      <c r="B152" s="7">
        <v>149</v>
      </c>
      <c r="L152" s="4"/>
      <c r="M152" s="4"/>
      <c r="N152" s="4"/>
      <c r="O152" s="4"/>
      <c r="Q152" s="222"/>
    </row>
    <row r="153" spans="1:17" ht="12">
      <c r="B153" s="7">
        <v>150</v>
      </c>
      <c r="C153" s="172"/>
      <c r="D153" s="173" t="s">
        <v>155</v>
      </c>
      <c r="E153" s="174">
        <v>3660700.9772999999</v>
      </c>
      <c r="F153" s="174">
        <v>2548691.3199999998</v>
      </c>
      <c r="G153" s="174">
        <v>4242696.38</v>
      </c>
      <c r="H153" s="174">
        <v>5907925.79</v>
      </c>
      <c r="I153" s="174">
        <v>3837035.38</v>
      </c>
      <c r="J153" s="174"/>
      <c r="K153" s="174"/>
      <c r="L153" s="174"/>
      <c r="M153" s="174"/>
      <c r="N153" s="174"/>
      <c r="O153" s="174"/>
      <c r="P153" s="222"/>
      <c r="Q153" s="222"/>
    </row>
    <row r="154" spans="1:17" ht="12">
      <c r="B154" s="7">
        <v>151</v>
      </c>
      <c r="C154" s="175"/>
      <c r="D154" s="176" t="s">
        <v>30</v>
      </c>
      <c r="E154" s="177">
        <v>1153002.1425000001</v>
      </c>
      <c r="F154" s="177">
        <v>750872.99</v>
      </c>
      <c r="G154" s="177">
        <v>1136965.74</v>
      </c>
      <c r="H154" s="177">
        <v>1737776.93</v>
      </c>
      <c r="I154" s="177">
        <v>1071648.0900000001</v>
      </c>
      <c r="J154" s="177"/>
      <c r="K154" s="177"/>
      <c r="L154" s="177"/>
      <c r="M154" s="177"/>
      <c r="N154" s="177"/>
      <c r="O154" s="177"/>
      <c r="Q154" s="222"/>
    </row>
    <row r="155" spans="1:17">
      <c r="B155" s="7">
        <v>152</v>
      </c>
      <c r="C155" s="178"/>
      <c r="D155" s="179" t="s">
        <v>31</v>
      </c>
      <c r="E155" s="180">
        <v>1464.6384000000003</v>
      </c>
      <c r="F155" s="180">
        <v>787.1</v>
      </c>
      <c r="G155" s="180">
        <v>1587.96</v>
      </c>
      <c r="H155" s="180">
        <v>1505.87</v>
      </c>
      <c r="I155" s="180">
        <v>1139.53</v>
      </c>
      <c r="J155" s="180"/>
      <c r="K155" s="180"/>
      <c r="L155" s="180"/>
      <c r="M155" s="180"/>
      <c r="N155" s="180"/>
      <c r="O155" s="180"/>
      <c r="Q155" s="222"/>
    </row>
    <row r="156" spans="1:17">
      <c r="B156" s="7">
        <v>153</v>
      </c>
      <c r="C156" s="178"/>
      <c r="D156" s="179" t="s">
        <v>130</v>
      </c>
      <c r="E156" s="180">
        <v>800454.74920000008</v>
      </c>
      <c r="F156" s="180">
        <v>486617.52</v>
      </c>
      <c r="G156" s="180">
        <v>688022.67</v>
      </c>
      <c r="H156" s="180">
        <v>1181004.6499999999</v>
      </c>
      <c r="I156" s="180">
        <v>748633.81</v>
      </c>
      <c r="J156" s="180"/>
      <c r="K156" s="180"/>
      <c r="L156" s="180"/>
      <c r="M156" s="180"/>
      <c r="N156" s="180"/>
      <c r="O156" s="180"/>
      <c r="Q156" s="222"/>
    </row>
    <row r="157" spans="1:17">
      <c r="B157" s="7">
        <v>154</v>
      </c>
      <c r="C157" s="178"/>
      <c r="D157" s="179" t="s">
        <v>32</v>
      </c>
      <c r="E157" s="180">
        <v>161784.47999999998</v>
      </c>
      <c r="F157" s="180">
        <v>95313.19</v>
      </c>
      <c r="G157" s="180">
        <v>188492.52</v>
      </c>
      <c r="H157" s="180">
        <v>244142.68</v>
      </c>
      <c r="I157" s="180">
        <v>126711.67999999999</v>
      </c>
      <c r="J157" s="180"/>
      <c r="K157" s="180"/>
      <c r="L157" s="180"/>
      <c r="M157" s="180"/>
      <c r="N157" s="180"/>
      <c r="O157" s="180"/>
      <c r="Q157" s="222"/>
    </row>
    <row r="158" spans="1:17">
      <c r="B158" s="7">
        <v>155</v>
      </c>
      <c r="C158" s="178"/>
      <c r="D158" s="179" t="s">
        <v>131</v>
      </c>
      <c r="E158" s="180">
        <v>189645.99199999997</v>
      </c>
      <c r="F158" s="180">
        <v>168155.18</v>
      </c>
      <c r="G158" s="180">
        <v>258862.59</v>
      </c>
      <c r="H158" s="180">
        <v>311123.73</v>
      </c>
      <c r="I158" s="180">
        <v>195163.07</v>
      </c>
      <c r="J158" s="180"/>
      <c r="K158" s="180"/>
      <c r="L158" s="180"/>
      <c r="M158" s="180"/>
      <c r="N158" s="180"/>
      <c r="O158" s="180"/>
      <c r="Q158" s="222"/>
    </row>
    <row r="159" spans="1:17" ht="12">
      <c r="B159" s="7">
        <v>156</v>
      </c>
      <c r="C159" s="175"/>
      <c r="D159" s="176" t="s">
        <v>132</v>
      </c>
      <c r="E159" s="177">
        <v>0</v>
      </c>
      <c r="F159" s="177">
        <v>0</v>
      </c>
      <c r="G159" s="177">
        <v>0</v>
      </c>
      <c r="H159" s="177">
        <v>0</v>
      </c>
      <c r="I159" s="177">
        <v>0</v>
      </c>
      <c r="J159" s="177"/>
      <c r="K159" s="177"/>
      <c r="L159" s="177"/>
      <c r="M159" s="177"/>
      <c r="N159" s="177"/>
      <c r="O159" s="177"/>
    </row>
    <row r="160" spans="1:17">
      <c r="B160" s="7">
        <v>157</v>
      </c>
      <c r="C160" s="178"/>
      <c r="D160" s="179" t="s">
        <v>133</v>
      </c>
      <c r="E160" s="180">
        <v>0</v>
      </c>
      <c r="F160" s="180">
        <v>0</v>
      </c>
      <c r="G160" s="180">
        <v>0</v>
      </c>
      <c r="H160" s="180">
        <v>0</v>
      </c>
      <c r="I160" s="180">
        <v>0</v>
      </c>
      <c r="J160" s="180"/>
      <c r="K160" s="180"/>
      <c r="L160" s="180"/>
      <c r="M160" s="180"/>
      <c r="N160" s="180"/>
      <c r="O160" s="180"/>
    </row>
    <row r="161" spans="2:15">
      <c r="B161" s="7">
        <v>158</v>
      </c>
      <c r="C161" s="178"/>
      <c r="D161" s="179" t="s">
        <v>134</v>
      </c>
      <c r="E161" s="180">
        <v>0</v>
      </c>
      <c r="F161" s="180">
        <v>0</v>
      </c>
      <c r="G161" s="180">
        <v>0</v>
      </c>
      <c r="H161" s="180">
        <v>0</v>
      </c>
      <c r="I161" s="180">
        <v>0</v>
      </c>
      <c r="J161" s="180"/>
      <c r="K161" s="180"/>
      <c r="L161" s="180"/>
      <c r="M161" s="180"/>
      <c r="N161" s="180"/>
      <c r="O161" s="180"/>
    </row>
    <row r="162" spans="2:15" ht="12">
      <c r="B162" s="7">
        <v>159</v>
      </c>
      <c r="C162" s="175"/>
      <c r="D162" s="176" t="s">
        <v>33</v>
      </c>
      <c r="E162" s="177">
        <v>2507698.8347999998</v>
      </c>
      <c r="F162" s="177">
        <v>1797818.33</v>
      </c>
      <c r="G162" s="177">
        <v>3105730.64</v>
      </c>
      <c r="H162" s="177">
        <v>4170148.86</v>
      </c>
      <c r="I162" s="177">
        <v>2765387.29</v>
      </c>
      <c r="J162" s="177"/>
      <c r="K162" s="177"/>
      <c r="L162" s="177"/>
      <c r="M162" s="177"/>
      <c r="N162" s="177"/>
      <c r="O162" s="177"/>
    </row>
    <row r="163" spans="2:15">
      <c r="B163" s="7">
        <v>160</v>
      </c>
      <c r="C163" s="178"/>
      <c r="D163" s="179" t="s">
        <v>34</v>
      </c>
      <c r="E163" s="180">
        <v>4333.1461999999992</v>
      </c>
      <c r="F163" s="180">
        <v>2525.66</v>
      </c>
      <c r="G163" s="180">
        <v>4146.62</v>
      </c>
      <c r="H163" s="180">
        <v>6957.68</v>
      </c>
      <c r="I163" s="180">
        <v>3435.76</v>
      </c>
      <c r="J163" s="180"/>
      <c r="K163" s="180"/>
      <c r="L163" s="180"/>
      <c r="M163" s="180"/>
      <c r="N163" s="180"/>
      <c r="O163" s="180"/>
    </row>
    <row r="164" spans="2:15">
      <c r="B164" s="7">
        <v>161</v>
      </c>
      <c r="C164" s="178"/>
      <c r="D164" s="179" t="s">
        <v>35</v>
      </c>
      <c r="E164" s="180">
        <v>699297.42249999999</v>
      </c>
      <c r="F164" s="180">
        <v>691386.03</v>
      </c>
      <c r="G164" s="180">
        <v>993222.5</v>
      </c>
      <c r="H164" s="180">
        <v>970692.26</v>
      </c>
      <c r="I164" s="180">
        <v>770585.86</v>
      </c>
      <c r="J164" s="180"/>
      <c r="K164" s="180"/>
      <c r="L164" s="180"/>
      <c r="M164" s="180"/>
      <c r="N164" s="180"/>
      <c r="O164" s="180"/>
    </row>
    <row r="165" spans="2:15">
      <c r="B165" s="7">
        <v>162</v>
      </c>
      <c r="C165" s="178"/>
      <c r="D165" s="179" t="s">
        <v>36</v>
      </c>
      <c r="E165" s="180">
        <v>12614.3408</v>
      </c>
      <c r="F165" s="180">
        <v>8138.38</v>
      </c>
      <c r="G165" s="180">
        <v>14155.73</v>
      </c>
      <c r="H165" s="180">
        <v>18879.650000000001</v>
      </c>
      <c r="I165" s="180">
        <v>13238.71</v>
      </c>
      <c r="J165" s="180"/>
      <c r="K165" s="180"/>
      <c r="L165" s="180"/>
      <c r="M165" s="180"/>
      <c r="N165" s="180"/>
      <c r="O165" s="180"/>
    </row>
    <row r="166" spans="2:15">
      <c r="B166" s="7">
        <v>163</v>
      </c>
      <c r="C166" s="178"/>
      <c r="D166" s="179" t="s">
        <v>37</v>
      </c>
      <c r="E166" s="180">
        <v>1786664.6928000001</v>
      </c>
      <c r="F166" s="180">
        <v>1095768.26</v>
      </c>
      <c r="G166" s="180">
        <v>2094205.79</v>
      </c>
      <c r="H166" s="180">
        <v>3173619.27</v>
      </c>
      <c r="I166" s="180">
        <v>1978126.96</v>
      </c>
      <c r="J166" s="180"/>
      <c r="K166" s="180"/>
      <c r="L166" s="180"/>
      <c r="M166" s="180"/>
      <c r="N166" s="180"/>
      <c r="O166" s="180"/>
    </row>
    <row r="167" spans="2:15" ht="12">
      <c r="B167" s="7">
        <v>164</v>
      </c>
      <c r="C167" s="175"/>
      <c r="D167" s="176" t="s">
        <v>135</v>
      </c>
      <c r="E167" s="177">
        <v>0</v>
      </c>
      <c r="F167" s="177">
        <v>0</v>
      </c>
      <c r="G167" s="177">
        <v>0</v>
      </c>
      <c r="H167" s="177">
        <v>0</v>
      </c>
      <c r="I167" s="177">
        <v>0</v>
      </c>
      <c r="J167" s="177"/>
      <c r="K167" s="177"/>
      <c r="L167" s="177"/>
      <c r="M167" s="177"/>
      <c r="N167" s="177"/>
      <c r="O167" s="177"/>
    </row>
    <row r="168" spans="2:15">
      <c r="B168" s="7">
        <v>165</v>
      </c>
      <c r="C168" s="178"/>
      <c r="D168" s="179" t="s">
        <v>243</v>
      </c>
      <c r="E168" s="180">
        <v>0</v>
      </c>
      <c r="F168" s="180">
        <v>0</v>
      </c>
      <c r="G168" s="180">
        <v>0</v>
      </c>
      <c r="H168" s="180">
        <v>0</v>
      </c>
      <c r="I168" s="180">
        <v>0</v>
      </c>
      <c r="J168" s="180"/>
      <c r="K168" s="180"/>
      <c r="L168" s="180"/>
      <c r="M168" s="180"/>
      <c r="N168" s="180"/>
      <c r="O168" s="180"/>
    </row>
    <row r="169" spans="2:15">
      <c r="B169" s="7">
        <v>166</v>
      </c>
      <c r="C169" s="178"/>
      <c r="D169" s="179" t="s">
        <v>136</v>
      </c>
      <c r="E169" s="180">
        <v>0</v>
      </c>
      <c r="F169" s="180">
        <v>0</v>
      </c>
      <c r="G169" s="180">
        <v>0</v>
      </c>
      <c r="H169" s="180">
        <v>0</v>
      </c>
      <c r="I169" s="180">
        <v>0</v>
      </c>
      <c r="J169" s="180"/>
      <c r="K169" s="180"/>
      <c r="L169" s="180"/>
      <c r="M169" s="180"/>
      <c r="N169" s="180"/>
      <c r="O169" s="180"/>
    </row>
    <row r="170" spans="2:15" ht="12">
      <c r="B170" s="7">
        <v>167</v>
      </c>
      <c r="C170" s="172"/>
      <c r="D170" s="173" t="s">
        <v>38</v>
      </c>
      <c r="E170" s="174">
        <v>1160911.8855000001</v>
      </c>
      <c r="F170" s="174">
        <v>782168.03</v>
      </c>
      <c r="G170" s="174">
        <v>1411573.06</v>
      </c>
      <c r="H170" s="174">
        <v>1716320.46</v>
      </c>
      <c r="I170" s="174">
        <v>1061212.52</v>
      </c>
      <c r="J170" s="174"/>
      <c r="K170" s="174"/>
      <c r="L170" s="174"/>
      <c r="M170" s="174"/>
      <c r="N170" s="174"/>
      <c r="O170" s="174"/>
    </row>
    <row r="171" spans="2:15" ht="12">
      <c r="B171" s="7">
        <v>168</v>
      </c>
      <c r="C171" s="172"/>
      <c r="D171" s="173" t="s">
        <v>156</v>
      </c>
      <c r="E171" s="174">
        <v>115238.93909999999</v>
      </c>
      <c r="F171" s="174">
        <v>65033.22</v>
      </c>
      <c r="G171" s="174">
        <v>87342.18</v>
      </c>
      <c r="H171" s="174">
        <v>152540.70000000001</v>
      </c>
      <c r="I171" s="174">
        <v>80471.78</v>
      </c>
      <c r="J171" s="174"/>
      <c r="K171" s="174"/>
      <c r="L171" s="174"/>
      <c r="M171" s="174"/>
      <c r="N171" s="174"/>
      <c r="O171" s="174"/>
    </row>
    <row r="172" spans="2:15" ht="24">
      <c r="B172" s="7">
        <v>169</v>
      </c>
      <c r="C172" s="172"/>
      <c r="D172" s="173" t="s">
        <v>39</v>
      </c>
      <c r="E172" s="174">
        <v>415708.92120000004</v>
      </c>
      <c r="F172" s="174">
        <v>218922.01</v>
      </c>
      <c r="G172" s="174">
        <v>423371.42</v>
      </c>
      <c r="H172" s="174">
        <v>560201.15</v>
      </c>
      <c r="I172" s="174">
        <v>306321.64</v>
      </c>
      <c r="J172" s="174"/>
      <c r="K172" s="174"/>
      <c r="L172" s="174"/>
      <c r="M172" s="174"/>
      <c r="N172" s="174"/>
      <c r="O172" s="174"/>
    </row>
    <row r="173" spans="2:15" ht="12">
      <c r="B173" s="7">
        <v>170</v>
      </c>
      <c r="C173" s="181" t="s">
        <v>158</v>
      </c>
      <c r="D173" s="182" t="s">
        <v>157</v>
      </c>
      <c r="E173" s="183">
        <v>5290305.2836000007</v>
      </c>
      <c r="F173" s="183">
        <v>3614814.58</v>
      </c>
      <c r="G173" s="183">
        <v>6164983.04</v>
      </c>
      <c r="H173" s="183">
        <v>8336988.0999999996</v>
      </c>
      <c r="I173" s="183">
        <v>5285041.32</v>
      </c>
      <c r="J173" s="183"/>
      <c r="K173" s="183"/>
      <c r="L173" s="183"/>
      <c r="M173" s="183"/>
      <c r="N173" s="183"/>
      <c r="O173" s="183"/>
    </row>
    <row r="174" spans="2:15">
      <c r="B174" s="7">
        <v>171</v>
      </c>
      <c r="C174" s="178"/>
      <c r="D174" s="179" t="s">
        <v>137</v>
      </c>
      <c r="E174" s="180">
        <v>1.0212000000000001</v>
      </c>
      <c r="F174" s="180">
        <v>0.71</v>
      </c>
      <c r="G174" s="180">
        <v>0.92</v>
      </c>
      <c r="H174" s="180">
        <v>1.62</v>
      </c>
      <c r="I174" s="180">
        <v>0.76</v>
      </c>
      <c r="J174" s="180"/>
      <c r="K174" s="180"/>
      <c r="L174" s="180"/>
      <c r="M174" s="180"/>
      <c r="N174" s="180"/>
      <c r="O174" s="180"/>
    </row>
    <row r="175" spans="2:15">
      <c r="B175" s="7">
        <v>172</v>
      </c>
      <c r="C175" s="178"/>
      <c r="D175" s="179" t="s">
        <v>138</v>
      </c>
      <c r="E175" s="180">
        <v>190.91840000000002</v>
      </c>
      <c r="F175" s="180">
        <v>178.48</v>
      </c>
      <c r="G175" s="180">
        <v>292.42</v>
      </c>
      <c r="H175" s="180">
        <v>339.23</v>
      </c>
      <c r="I175" s="180">
        <v>174.87</v>
      </c>
      <c r="J175" s="180"/>
      <c r="K175" s="180"/>
      <c r="L175" s="180"/>
      <c r="M175" s="180"/>
      <c r="N175" s="180"/>
      <c r="O175" s="180"/>
    </row>
    <row r="176" spans="2:15">
      <c r="B176" s="7">
        <v>173</v>
      </c>
      <c r="C176" s="178"/>
      <c r="D176" s="179" t="s">
        <v>139</v>
      </c>
      <c r="E176" s="180">
        <v>10.7912</v>
      </c>
      <c r="F176" s="180">
        <v>9.7899999999999991</v>
      </c>
      <c r="G176" s="180">
        <v>10.86</v>
      </c>
      <c r="H176" s="180">
        <v>15.82</v>
      </c>
      <c r="I176" s="180">
        <v>10.35</v>
      </c>
      <c r="J176" s="180"/>
      <c r="K176" s="180"/>
      <c r="L176" s="180"/>
      <c r="M176" s="180"/>
      <c r="N176" s="180"/>
      <c r="O176" s="180"/>
    </row>
    <row r="177" spans="2:15">
      <c r="B177" s="7">
        <v>174</v>
      </c>
      <c r="C177" s="178"/>
      <c r="D177" s="179" t="s">
        <v>140</v>
      </c>
      <c r="E177" s="180">
        <v>0</v>
      </c>
      <c r="F177" s="180">
        <v>0</v>
      </c>
      <c r="G177" s="180">
        <v>0</v>
      </c>
      <c r="H177" s="180">
        <v>0</v>
      </c>
      <c r="I177" s="180">
        <v>0</v>
      </c>
      <c r="J177" s="180"/>
      <c r="K177" s="180"/>
      <c r="L177" s="180"/>
      <c r="M177" s="180"/>
      <c r="N177" s="180"/>
      <c r="O177" s="180"/>
    </row>
    <row r="178" spans="2:15" ht="12">
      <c r="B178" s="7">
        <v>175</v>
      </c>
      <c r="C178" s="181"/>
      <c r="D178" s="182" t="s">
        <v>141</v>
      </c>
      <c r="E178" s="183">
        <v>36289.538</v>
      </c>
      <c r="F178" s="183">
        <v>19016.11</v>
      </c>
      <c r="G178" s="183">
        <v>35917.1</v>
      </c>
      <c r="H178" s="183">
        <v>42830.45</v>
      </c>
      <c r="I178" s="183">
        <v>32174.19</v>
      </c>
      <c r="J178" s="183"/>
      <c r="K178" s="183"/>
      <c r="L178" s="183"/>
      <c r="M178" s="183"/>
      <c r="N178" s="183"/>
      <c r="O178" s="183"/>
    </row>
    <row r="179" spans="2:15">
      <c r="B179" s="7">
        <v>176</v>
      </c>
      <c r="C179" s="178"/>
      <c r="D179" s="179" t="s">
        <v>142</v>
      </c>
      <c r="E179" s="180">
        <v>0</v>
      </c>
      <c r="F179" s="180">
        <v>0</v>
      </c>
      <c r="G179" s="180">
        <v>0</v>
      </c>
      <c r="H179" s="180">
        <v>0</v>
      </c>
      <c r="I179" s="180">
        <v>0</v>
      </c>
      <c r="J179" s="180"/>
      <c r="K179" s="180"/>
      <c r="L179" s="180"/>
      <c r="M179" s="180"/>
      <c r="N179" s="180"/>
      <c r="O179" s="180"/>
    </row>
    <row r="180" spans="2:15">
      <c r="B180" s="7">
        <v>177</v>
      </c>
      <c r="C180" s="178"/>
      <c r="D180" s="179" t="s">
        <v>143</v>
      </c>
      <c r="E180" s="180">
        <v>9542.0543999999991</v>
      </c>
      <c r="F180" s="180">
        <v>6117.42</v>
      </c>
      <c r="G180" s="180">
        <v>9339.14</v>
      </c>
      <c r="H180" s="180">
        <v>12040.9</v>
      </c>
      <c r="I180" s="180">
        <v>7231.85</v>
      </c>
      <c r="J180" s="180"/>
      <c r="K180" s="180"/>
      <c r="L180" s="180"/>
      <c r="M180" s="180"/>
      <c r="N180" s="180"/>
      <c r="O180" s="180"/>
    </row>
    <row r="181" spans="2:15">
      <c r="B181" s="7">
        <v>178</v>
      </c>
      <c r="C181" s="178"/>
      <c r="D181" s="179" t="s">
        <v>144</v>
      </c>
      <c r="E181" s="180">
        <v>0</v>
      </c>
      <c r="F181" s="180">
        <v>0</v>
      </c>
      <c r="G181" s="180">
        <v>0</v>
      </c>
      <c r="H181" s="180">
        <v>0</v>
      </c>
      <c r="I181" s="180">
        <v>0</v>
      </c>
      <c r="J181" s="180"/>
      <c r="K181" s="180"/>
      <c r="L181" s="180"/>
      <c r="M181" s="180"/>
      <c r="N181" s="180"/>
      <c r="O181" s="180"/>
    </row>
    <row r="182" spans="2:15">
      <c r="B182" s="7">
        <v>179</v>
      </c>
      <c r="C182" s="178"/>
      <c r="D182" s="179" t="s">
        <v>145</v>
      </c>
      <c r="E182" s="180">
        <v>0</v>
      </c>
      <c r="F182" s="180">
        <v>0</v>
      </c>
      <c r="G182" s="180">
        <v>0</v>
      </c>
      <c r="H182" s="180">
        <v>0</v>
      </c>
      <c r="I182" s="180">
        <v>0</v>
      </c>
      <c r="J182" s="180"/>
      <c r="K182" s="180"/>
      <c r="L182" s="180"/>
      <c r="M182" s="180"/>
      <c r="N182" s="180"/>
      <c r="O182" s="180"/>
    </row>
    <row r="183" spans="2:15">
      <c r="B183" s="7">
        <v>180</v>
      </c>
      <c r="C183" s="178"/>
      <c r="D183" s="179" t="s">
        <v>146</v>
      </c>
      <c r="E183" s="180">
        <v>0</v>
      </c>
      <c r="F183" s="180">
        <v>0</v>
      </c>
      <c r="G183" s="180">
        <v>0</v>
      </c>
      <c r="H183" s="180">
        <v>0</v>
      </c>
      <c r="I183" s="180">
        <v>0</v>
      </c>
      <c r="J183" s="180"/>
      <c r="K183" s="180"/>
      <c r="L183" s="180"/>
      <c r="M183" s="180"/>
      <c r="N183" s="180"/>
      <c r="O183" s="180"/>
    </row>
    <row r="184" spans="2:15">
      <c r="B184" s="7">
        <v>181</v>
      </c>
      <c r="C184" s="178"/>
      <c r="D184" s="179" t="s">
        <v>147</v>
      </c>
      <c r="E184" s="180">
        <v>4910.8966</v>
      </c>
      <c r="F184" s="180">
        <v>2629.59</v>
      </c>
      <c r="G184" s="180">
        <v>4548.83</v>
      </c>
      <c r="H184" s="180">
        <v>6073.33</v>
      </c>
      <c r="I184" s="180">
        <v>4144.32</v>
      </c>
      <c r="J184" s="180"/>
      <c r="K184" s="180"/>
      <c r="L184" s="180"/>
      <c r="M184" s="180"/>
      <c r="N184" s="180"/>
      <c r="O184" s="180"/>
    </row>
    <row r="185" spans="2:15" ht="12">
      <c r="B185" s="7">
        <v>182</v>
      </c>
      <c r="C185" s="181"/>
      <c r="D185" s="182" t="s">
        <v>40</v>
      </c>
      <c r="E185" s="183">
        <v>52814.142899999999</v>
      </c>
      <c r="F185" s="183">
        <v>27763.119999999999</v>
      </c>
      <c r="G185" s="183">
        <v>49805.07</v>
      </c>
      <c r="H185" s="183">
        <v>60944.68</v>
      </c>
      <c r="I185" s="183">
        <v>43550.36</v>
      </c>
      <c r="J185" s="183"/>
      <c r="K185" s="183"/>
      <c r="L185" s="183"/>
      <c r="M185" s="183"/>
      <c r="N185" s="183"/>
      <c r="O185" s="183"/>
    </row>
    <row r="186" spans="2:15" ht="12">
      <c r="B186" s="7">
        <v>183</v>
      </c>
      <c r="C186" s="181" t="s">
        <v>153</v>
      </c>
      <c r="D186" s="182" t="s">
        <v>41</v>
      </c>
      <c r="E186" s="183">
        <v>5240213.5192</v>
      </c>
      <c r="F186" s="183">
        <v>3587051.46</v>
      </c>
      <c r="G186" s="183">
        <v>6115177.9699999997</v>
      </c>
      <c r="H186" s="183">
        <v>8276043.4199999999</v>
      </c>
      <c r="I186" s="183">
        <v>5241490.96</v>
      </c>
      <c r="J186" s="183"/>
      <c r="K186" s="183"/>
      <c r="L186" s="183"/>
      <c r="M186" s="183"/>
      <c r="N186" s="183"/>
      <c r="O186" s="183"/>
    </row>
    <row r="187" spans="2:15">
      <c r="B187" s="7">
        <v>184</v>
      </c>
      <c r="C187" s="178"/>
      <c r="D187" s="179" t="s">
        <v>42</v>
      </c>
      <c r="E187" s="180">
        <v>0</v>
      </c>
      <c r="F187" s="180">
        <v>61507</v>
      </c>
      <c r="G187" s="180">
        <v>0</v>
      </c>
      <c r="H187" s="180">
        <v>3905</v>
      </c>
      <c r="I187" s="180">
        <v>0</v>
      </c>
      <c r="J187" s="180"/>
      <c r="K187" s="180"/>
      <c r="L187" s="180"/>
      <c r="M187" s="180"/>
      <c r="N187" s="180"/>
      <c r="O187" s="180"/>
    </row>
    <row r="188" spans="2:15" ht="24">
      <c r="B188" s="7">
        <v>185</v>
      </c>
      <c r="C188" s="181" t="s">
        <v>159</v>
      </c>
      <c r="D188" s="182" t="s">
        <v>148</v>
      </c>
      <c r="E188" s="183">
        <v>5525007.7321999995</v>
      </c>
      <c r="F188" s="183">
        <v>3525544.46</v>
      </c>
      <c r="G188" s="183">
        <v>6115177.9699999997</v>
      </c>
      <c r="H188" s="183">
        <v>8272138.4199999999</v>
      </c>
      <c r="I188" s="183">
        <v>5241490.96</v>
      </c>
      <c r="J188" s="183"/>
      <c r="K188" s="183"/>
      <c r="L188" s="183"/>
      <c r="M188" s="183"/>
      <c r="N188" s="183"/>
      <c r="O188" s="183"/>
    </row>
    <row r="189" spans="2:15">
      <c r="B189" s="7">
        <v>186</v>
      </c>
      <c r="C189" s="184" t="s">
        <v>160</v>
      </c>
      <c r="D189" s="185" t="s">
        <v>149</v>
      </c>
      <c r="E189" s="186">
        <v>52509.806673635299</v>
      </c>
      <c r="F189" s="186">
        <v>36257.339935817501</v>
      </c>
      <c r="G189" s="186">
        <v>66504.319839799893</v>
      </c>
      <c r="H189" s="186">
        <v>80916.280440684597</v>
      </c>
      <c r="I189" s="186">
        <v>48655.087867071103</v>
      </c>
      <c r="J189" s="186"/>
      <c r="K189" s="186"/>
      <c r="L189" s="186"/>
      <c r="M189" s="186"/>
      <c r="N189" s="186"/>
      <c r="O189" s="186"/>
    </row>
    <row r="190" spans="2:15">
      <c r="B190" s="7">
        <v>187</v>
      </c>
      <c r="C190" s="184" t="s">
        <v>161</v>
      </c>
      <c r="D190" s="185" t="s">
        <v>90</v>
      </c>
      <c r="E190" s="186">
        <v>1578.8898708763111</v>
      </c>
      <c r="F190" s="186">
        <v>1528.2322172900101</v>
      </c>
      <c r="G190" s="186">
        <v>1651.29630506593</v>
      </c>
      <c r="H190" s="186">
        <v>2248.71651299628</v>
      </c>
      <c r="I190" s="186">
        <v>2127.8899540890202</v>
      </c>
      <c r="J190" s="186"/>
      <c r="K190" s="186"/>
      <c r="L190" s="186"/>
      <c r="M190" s="186"/>
      <c r="N190" s="186"/>
      <c r="O190" s="186"/>
    </row>
    <row r="191" spans="2:15">
      <c r="B191" s="7">
        <v>188</v>
      </c>
      <c r="C191" s="184" t="s">
        <v>162</v>
      </c>
      <c r="D191" s="185" t="s">
        <v>91</v>
      </c>
      <c r="E191" s="186">
        <v>12.814109525220486</v>
      </c>
      <c r="F191" s="186">
        <v>4.8709547716416797</v>
      </c>
      <c r="G191" s="186">
        <v>16.362102216343299</v>
      </c>
      <c r="H191" s="186">
        <v>24.946823609457599</v>
      </c>
      <c r="I191" s="186">
        <v>6.4049018544238603</v>
      </c>
      <c r="J191" s="186"/>
      <c r="K191" s="186"/>
      <c r="L191" s="186"/>
      <c r="M191" s="186"/>
      <c r="N191" s="186"/>
      <c r="O191" s="186"/>
    </row>
    <row r="192" spans="2:15">
      <c r="B192" s="7">
        <v>189</v>
      </c>
      <c r="C192" s="184" t="s">
        <v>163</v>
      </c>
      <c r="D192" s="185" t="s">
        <v>92</v>
      </c>
      <c r="E192" s="186">
        <v>8026.2492297373146</v>
      </c>
      <c r="F192" s="186">
        <v>5367.0097264452997</v>
      </c>
      <c r="G192" s="186">
        <v>9844.3330940071501</v>
      </c>
      <c r="H192" s="186">
        <v>11977.6703123198</v>
      </c>
      <c r="I192" s="186">
        <v>7202.1921709059698</v>
      </c>
      <c r="J192" s="186"/>
      <c r="K192" s="186"/>
      <c r="L192" s="186"/>
      <c r="M192" s="186"/>
      <c r="N192" s="186"/>
      <c r="O192" s="186"/>
    </row>
    <row r="193" spans="2:15" ht="24">
      <c r="B193" s="7">
        <v>190</v>
      </c>
      <c r="C193" s="187" t="s">
        <v>244</v>
      </c>
      <c r="D193" s="188" t="s">
        <v>93</v>
      </c>
      <c r="E193" s="189">
        <v>61874.161595658465</v>
      </c>
      <c r="F193" s="189">
        <v>43157.452834324497</v>
      </c>
      <c r="G193" s="189">
        <v>78016.311341089298</v>
      </c>
      <c r="H193" s="189">
        <v>95167.614089610201</v>
      </c>
      <c r="I193" s="189">
        <v>57991.5748939205</v>
      </c>
      <c r="J193" s="189"/>
      <c r="K193" s="189"/>
      <c r="L193" s="189"/>
      <c r="M193" s="189"/>
      <c r="N193" s="189"/>
      <c r="O193" s="189"/>
    </row>
    <row r="194" spans="2:15">
      <c r="B194" s="7">
        <v>191</v>
      </c>
      <c r="C194" s="190" t="s">
        <v>245</v>
      </c>
      <c r="D194" s="191" t="s">
        <v>246</v>
      </c>
      <c r="E194" s="192" t="s">
        <v>154</v>
      </c>
      <c r="F194" s="192" t="s">
        <v>154</v>
      </c>
      <c r="G194" s="192" t="s">
        <v>154</v>
      </c>
      <c r="H194" s="192" t="s">
        <v>154</v>
      </c>
      <c r="I194" s="192" t="s">
        <v>154</v>
      </c>
      <c r="J194" s="192"/>
      <c r="K194" s="192"/>
      <c r="L194" s="192"/>
      <c r="M194" s="192"/>
      <c r="N194" s="192"/>
      <c r="O194" s="192"/>
    </row>
    <row r="195" spans="2:15">
      <c r="B195" s="7">
        <v>192</v>
      </c>
      <c r="C195" s="190" t="s">
        <v>247</v>
      </c>
      <c r="D195" s="191" t="s">
        <v>248</v>
      </c>
      <c r="E195" s="192" t="s">
        <v>154</v>
      </c>
      <c r="F195" s="192" t="s">
        <v>154</v>
      </c>
      <c r="G195" s="192" t="s">
        <v>154</v>
      </c>
      <c r="H195" s="192" t="s">
        <v>154</v>
      </c>
      <c r="I195" s="192" t="s">
        <v>154</v>
      </c>
      <c r="J195" s="192"/>
      <c r="K195" s="192"/>
      <c r="L195" s="192"/>
      <c r="M195" s="192"/>
      <c r="N195" s="192"/>
      <c r="O195" s="192"/>
    </row>
    <row r="196" spans="2:15">
      <c r="B196" s="7">
        <v>193</v>
      </c>
      <c r="C196" s="190" t="s">
        <v>249</v>
      </c>
      <c r="D196" s="191" t="s">
        <v>250</v>
      </c>
      <c r="E196" s="192" t="s">
        <v>154</v>
      </c>
      <c r="F196" s="192" t="s">
        <v>154</v>
      </c>
      <c r="G196" s="192" t="s">
        <v>154</v>
      </c>
      <c r="H196" s="192" t="s">
        <v>154</v>
      </c>
      <c r="I196" s="192" t="s">
        <v>154</v>
      </c>
      <c r="J196" s="192"/>
      <c r="K196" s="192"/>
      <c r="L196" s="192"/>
      <c r="M196" s="192"/>
      <c r="N196" s="192"/>
      <c r="O196" s="192"/>
    </row>
    <row r="197" spans="2:15">
      <c r="B197" s="7">
        <v>194</v>
      </c>
      <c r="C197" s="190" t="s">
        <v>251</v>
      </c>
      <c r="D197" s="191" t="s">
        <v>252</v>
      </c>
      <c r="E197" s="192" t="s">
        <v>154</v>
      </c>
      <c r="F197" s="192" t="s">
        <v>154</v>
      </c>
      <c r="G197" s="192" t="s">
        <v>154</v>
      </c>
      <c r="H197" s="192" t="s">
        <v>154</v>
      </c>
      <c r="I197" s="192" t="s">
        <v>154</v>
      </c>
      <c r="J197" s="192"/>
      <c r="K197" s="192"/>
      <c r="L197" s="192"/>
      <c r="M197" s="192"/>
      <c r="N197" s="192"/>
      <c r="O197" s="192"/>
    </row>
    <row r="198" spans="2:15">
      <c r="B198" s="7">
        <v>195</v>
      </c>
      <c r="C198" s="190" t="s">
        <v>253</v>
      </c>
      <c r="D198" s="191" t="s">
        <v>254</v>
      </c>
      <c r="E198" s="192" t="s">
        <v>154</v>
      </c>
      <c r="F198" s="192" t="s">
        <v>154</v>
      </c>
      <c r="G198" s="192" t="s">
        <v>154</v>
      </c>
      <c r="H198" s="192" t="s">
        <v>154</v>
      </c>
      <c r="I198" s="192" t="s">
        <v>154</v>
      </c>
      <c r="J198" s="192"/>
      <c r="K198" s="192"/>
      <c r="L198" s="192"/>
      <c r="M198" s="192"/>
      <c r="N198" s="192"/>
      <c r="O198" s="192"/>
    </row>
    <row r="199" spans="2:15">
      <c r="B199" s="7">
        <v>196</v>
      </c>
      <c r="C199" s="190" t="s">
        <v>255</v>
      </c>
      <c r="D199" s="191" t="s">
        <v>256</v>
      </c>
      <c r="E199" s="192" t="s">
        <v>154</v>
      </c>
      <c r="F199" s="192" t="s">
        <v>154</v>
      </c>
      <c r="G199" s="192" t="s">
        <v>154</v>
      </c>
      <c r="H199" s="192" t="s">
        <v>154</v>
      </c>
      <c r="I199" s="192" t="s">
        <v>154</v>
      </c>
      <c r="J199" s="192"/>
      <c r="K199" s="192"/>
      <c r="L199" s="192"/>
      <c r="M199" s="192"/>
      <c r="N199" s="192"/>
      <c r="O199" s="192"/>
    </row>
    <row r="200" spans="2:15">
      <c r="B200" s="7">
        <v>197</v>
      </c>
      <c r="C200" s="190" t="s">
        <v>257</v>
      </c>
      <c r="D200" s="191" t="s">
        <v>258</v>
      </c>
      <c r="E200" s="192" t="s">
        <v>154</v>
      </c>
      <c r="F200" s="192" t="s">
        <v>154</v>
      </c>
      <c r="G200" s="192" t="s">
        <v>154</v>
      </c>
      <c r="H200" s="192" t="s">
        <v>154</v>
      </c>
      <c r="I200" s="192" t="s">
        <v>154</v>
      </c>
      <c r="J200" s="192"/>
      <c r="K200" s="192"/>
      <c r="L200" s="192"/>
      <c r="M200" s="192"/>
      <c r="N200" s="192"/>
      <c r="O200" s="192"/>
    </row>
    <row r="201" spans="2:15">
      <c r="B201" s="7">
        <v>198</v>
      </c>
      <c r="C201" s="190" t="s">
        <v>259</v>
      </c>
      <c r="D201" s="191" t="s">
        <v>260</v>
      </c>
      <c r="E201" s="192" t="s">
        <v>154</v>
      </c>
      <c r="F201" s="192" t="s">
        <v>154</v>
      </c>
      <c r="G201" s="192" t="s">
        <v>154</v>
      </c>
      <c r="H201" s="192" t="s">
        <v>154</v>
      </c>
      <c r="I201" s="192" t="s">
        <v>154</v>
      </c>
      <c r="J201" s="192"/>
      <c r="K201" s="192"/>
      <c r="L201" s="192"/>
      <c r="M201" s="192"/>
      <c r="N201" s="192"/>
      <c r="O201" s="192"/>
    </row>
    <row r="202" spans="2:15">
      <c r="B202" s="7">
        <v>199</v>
      </c>
      <c r="C202" s="190" t="s">
        <v>261</v>
      </c>
      <c r="D202" s="191" t="s">
        <v>262</v>
      </c>
      <c r="E202" s="192" t="s">
        <v>154</v>
      </c>
      <c r="F202" s="192" t="s">
        <v>154</v>
      </c>
      <c r="G202" s="192" t="s">
        <v>154</v>
      </c>
      <c r="H202" s="192" t="s">
        <v>154</v>
      </c>
      <c r="I202" s="192" t="s">
        <v>154</v>
      </c>
      <c r="J202" s="192"/>
      <c r="K202" s="192"/>
      <c r="L202" s="192"/>
      <c r="M202" s="192"/>
      <c r="N202" s="192"/>
      <c r="O202" s="192"/>
    </row>
    <row r="203" spans="2:15">
      <c r="B203" s="7">
        <v>200</v>
      </c>
      <c r="C203" s="190" t="s">
        <v>263</v>
      </c>
      <c r="D203" s="191" t="s">
        <v>264</v>
      </c>
      <c r="E203" s="192" t="s">
        <v>154</v>
      </c>
      <c r="F203" s="192" t="s">
        <v>154</v>
      </c>
      <c r="G203" s="192" t="s">
        <v>154</v>
      </c>
      <c r="H203" s="192" t="s">
        <v>154</v>
      </c>
      <c r="I203" s="192" t="s">
        <v>154</v>
      </c>
      <c r="J203" s="192"/>
      <c r="K203" s="192"/>
      <c r="L203" s="192"/>
      <c r="M203" s="192"/>
      <c r="N203" s="192"/>
      <c r="O203" s="192"/>
    </row>
    <row r="204" spans="2:15" ht="12">
      <c r="B204" s="7">
        <v>201</v>
      </c>
      <c r="C204" s="193" t="s">
        <v>265</v>
      </c>
      <c r="D204" s="194" t="s">
        <v>266</v>
      </c>
      <c r="E204" s="195" t="s">
        <v>154</v>
      </c>
      <c r="F204" s="195" t="s">
        <v>154</v>
      </c>
      <c r="G204" s="195" t="s">
        <v>154</v>
      </c>
      <c r="H204" s="195" t="s">
        <v>154</v>
      </c>
      <c r="I204" s="195" t="s">
        <v>154</v>
      </c>
      <c r="J204" s="195"/>
      <c r="K204" s="195"/>
      <c r="L204" s="195"/>
      <c r="M204" s="195"/>
      <c r="N204" s="195"/>
      <c r="O204" s="195"/>
    </row>
    <row r="205" spans="2:15" ht="12">
      <c r="B205" s="7">
        <v>202</v>
      </c>
      <c r="C205" s="193" t="s">
        <v>267</v>
      </c>
      <c r="D205" s="194" t="s">
        <v>268</v>
      </c>
      <c r="E205" s="195" t="s">
        <v>154</v>
      </c>
      <c r="F205" s="195" t="s">
        <v>154</v>
      </c>
      <c r="G205" s="195" t="s">
        <v>154</v>
      </c>
      <c r="H205" s="195" t="s">
        <v>154</v>
      </c>
      <c r="I205" s="195" t="s">
        <v>154</v>
      </c>
      <c r="J205" s="195"/>
      <c r="K205" s="195"/>
      <c r="L205" s="195"/>
      <c r="M205" s="195"/>
      <c r="N205" s="195"/>
      <c r="O205" s="195"/>
    </row>
    <row r="206" spans="2:15" ht="12">
      <c r="B206" s="7">
        <v>203</v>
      </c>
      <c r="C206" s="193" t="s">
        <v>269</v>
      </c>
      <c r="D206" s="194" t="s">
        <v>270</v>
      </c>
      <c r="E206" s="195" t="s">
        <v>154</v>
      </c>
      <c r="F206" s="195" t="s">
        <v>154</v>
      </c>
      <c r="G206" s="195" t="s">
        <v>154</v>
      </c>
      <c r="H206" s="195" t="s">
        <v>154</v>
      </c>
      <c r="I206" s="195" t="s">
        <v>154</v>
      </c>
      <c r="J206" s="195"/>
      <c r="K206" s="195"/>
      <c r="L206" s="195"/>
      <c r="M206" s="195"/>
      <c r="N206" s="195"/>
      <c r="O206" s="195"/>
    </row>
    <row r="207" spans="2:15" ht="12">
      <c r="B207" s="7">
        <v>204</v>
      </c>
      <c r="C207" s="193" t="s">
        <v>271</v>
      </c>
      <c r="D207" s="194" t="s">
        <v>272</v>
      </c>
      <c r="E207" s="195" t="s">
        <v>154</v>
      </c>
      <c r="F207" s="195" t="s">
        <v>154</v>
      </c>
      <c r="G207" s="195" t="s">
        <v>154</v>
      </c>
      <c r="H207" s="195" t="s">
        <v>154</v>
      </c>
      <c r="I207" s="195" t="s">
        <v>154</v>
      </c>
      <c r="J207" s="195"/>
      <c r="K207" s="195"/>
      <c r="L207" s="195"/>
      <c r="M207" s="195"/>
      <c r="N207" s="195"/>
      <c r="O207" s="195"/>
    </row>
    <row r="208" spans="2:15" ht="12">
      <c r="B208" s="7">
        <v>205</v>
      </c>
      <c r="C208" s="193" t="s">
        <v>273</v>
      </c>
      <c r="D208" s="194" t="s">
        <v>274</v>
      </c>
      <c r="E208" s="195" t="s">
        <v>154</v>
      </c>
      <c r="F208" s="195" t="s">
        <v>154</v>
      </c>
      <c r="G208" s="195" t="s">
        <v>154</v>
      </c>
      <c r="H208" s="195" t="s">
        <v>154</v>
      </c>
      <c r="I208" s="195" t="s">
        <v>154</v>
      </c>
      <c r="J208" s="195"/>
      <c r="K208" s="195"/>
      <c r="L208" s="195"/>
      <c r="M208" s="195"/>
      <c r="N208" s="195"/>
      <c r="O208" s="195"/>
    </row>
    <row r="209" spans="2:15" ht="12">
      <c r="B209" s="7">
        <v>206</v>
      </c>
      <c r="C209" s="193" t="s">
        <v>275</v>
      </c>
      <c r="D209" s="194" t="s">
        <v>276</v>
      </c>
      <c r="E209" s="195" t="s">
        <v>154</v>
      </c>
      <c r="F209" s="195" t="s">
        <v>154</v>
      </c>
      <c r="G209" s="195" t="s">
        <v>154</v>
      </c>
      <c r="H209" s="195" t="s">
        <v>154</v>
      </c>
      <c r="I209" s="195" t="s">
        <v>154</v>
      </c>
      <c r="J209" s="195"/>
      <c r="K209" s="195"/>
      <c r="L209" s="195"/>
      <c r="M209" s="195"/>
      <c r="N209" s="195"/>
      <c r="O209" s="195"/>
    </row>
    <row r="210" spans="2:15" ht="24">
      <c r="B210" s="7">
        <v>207</v>
      </c>
      <c r="C210" s="187" t="s">
        <v>277</v>
      </c>
      <c r="D210" s="188" t="s">
        <v>278</v>
      </c>
      <c r="E210" s="189" t="s">
        <v>154</v>
      </c>
      <c r="F210" s="189" t="s">
        <v>154</v>
      </c>
      <c r="G210" s="189" t="s">
        <v>154</v>
      </c>
      <c r="H210" s="189" t="s">
        <v>154</v>
      </c>
      <c r="I210" s="189" t="s">
        <v>154</v>
      </c>
      <c r="J210" s="189"/>
      <c r="K210" s="189"/>
      <c r="L210" s="189"/>
      <c r="M210" s="189"/>
      <c r="N210" s="189"/>
      <c r="O210" s="189"/>
    </row>
    <row r="211" spans="2:15" ht="36">
      <c r="B211" s="7">
        <v>208</v>
      </c>
      <c r="C211" s="181" t="s">
        <v>279</v>
      </c>
      <c r="D211" s="182" t="s">
        <v>280</v>
      </c>
      <c r="E211" s="183">
        <v>5302087.6807956574</v>
      </c>
      <c r="F211" s="183">
        <v>3568701.91283433</v>
      </c>
      <c r="G211" s="183">
        <v>6193194.2813410899</v>
      </c>
      <c r="H211" s="183">
        <v>8367306.03408961</v>
      </c>
      <c r="I211" s="183">
        <v>5299482.5348939197</v>
      </c>
      <c r="J211" s="183"/>
      <c r="K211" s="183"/>
      <c r="L211" s="183"/>
      <c r="M211" s="183"/>
      <c r="N211" s="183"/>
      <c r="O211" s="183"/>
    </row>
    <row r="212" spans="2:15" ht="24">
      <c r="B212" s="7">
        <v>209</v>
      </c>
      <c r="C212" s="181" t="s">
        <v>281</v>
      </c>
      <c r="D212" s="182" t="s">
        <v>282</v>
      </c>
      <c r="E212" s="183">
        <v>5410355.3087303927</v>
      </c>
      <c r="F212" s="183">
        <v>3657972.0328343301</v>
      </c>
      <c r="G212" s="183">
        <v>6242999.3513410902</v>
      </c>
      <c r="H212" s="183">
        <v>8432155.7140896097</v>
      </c>
      <c r="I212" s="183">
        <v>5343032.89489392</v>
      </c>
      <c r="J212" s="183"/>
      <c r="K212" s="183"/>
      <c r="L212" s="183"/>
      <c r="M212" s="183"/>
      <c r="N212" s="183"/>
      <c r="O212" s="183"/>
    </row>
    <row r="213" spans="2:15" ht="15">
      <c r="B213" s="7">
        <v>210</v>
      </c>
      <c r="C213" s="146" t="s">
        <v>164</v>
      </c>
      <c r="D213" s="146"/>
      <c r="E213" s="147"/>
      <c r="F213" s="147"/>
      <c r="G213" s="147"/>
      <c r="H213" s="147"/>
      <c r="I213" s="147"/>
      <c r="J213" s="146"/>
      <c r="K213" s="146"/>
      <c r="L213" s="146"/>
      <c r="M213" s="146"/>
      <c r="N213" s="146"/>
      <c r="O213" s="146"/>
    </row>
    <row r="214" spans="2:15" ht="12.6">
      <c r="B214" s="7">
        <v>211</v>
      </c>
      <c r="C214" s="145"/>
      <c r="D214" s="145"/>
      <c r="E214" s="145"/>
      <c r="F214" s="145"/>
      <c r="G214" s="145"/>
      <c r="H214" s="145"/>
      <c r="I214" s="145"/>
      <c r="J214" s="145"/>
      <c r="K214" s="145"/>
      <c r="L214" s="145"/>
      <c r="M214" s="145"/>
      <c r="N214" s="145"/>
      <c r="O214" s="145"/>
    </row>
    <row r="215" spans="2:15">
      <c r="B215" s="7">
        <v>212</v>
      </c>
      <c r="C215" s="178"/>
      <c r="D215" s="179" t="s">
        <v>167</v>
      </c>
      <c r="E215" s="178" t="s">
        <v>153</v>
      </c>
      <c r="F215" s="178" t="s">
        <v>285</v>
      </c>
      <c r="G215" s="178" t="s">
        <v>168</v>
      </c>
      <c r="H215" s="178" t="s">
        <v>168</v>
      </c>
      <c r="I215" s="178" t="s">
        <v>168</v>
      </c>
      <c r="J215" s="178"/>
      <c r="K215" s="178"/>
      <c r="L215" s="178"/>
      <c r="M215" s="178"/>
      <c r="N215" s="178"/>
      <c r="O215" s="178"/>
    </row>
    <row r="216" spans="2:15" ht="15">
      <c r="B216" s="7">
        <v>213</v>
      </c>
      <c r="C216" s="146" t="s">
        <v>164</v>
      </c>
      <c r="D216" s="146"/>
      <c r="E216" s="147"/>
      <c r="F216" s="147"/>
      <c r="G216" s="147"/>
      <c r="H216" s="147"/>
      <c r="I216" s="147"/>
      <c r="J216" s="146"/>
      <c r="K216" s="146"/>
      <c r="L216" s="146"/>
      <c r="M216" s="146"/>
      <c r="N216" s="146"/>
      <c r="O216" s="146"/>
    </row>
    <row r="217" spans="2:15" ht="12.6">
      <c r="B217" s="7">
        <v>214</v>
      </c>
      <c r="C217" s="145"/>
      <c r="D217" s="145"/>
      <c r="E217" s="145"/>
      <c r="F217" s="145"/>
      <c r="G217" s="145"/>
      <c r="H217" s="145"/>
      <c r="I217" s="145"/>
      <c r="J217" s="145"/>
      <c r="K217" s="145"/>
      <c r="L217" s="145"/>
      <c r="M217" s="145"/>
      <c r="N217" s="145"/>
      <c r="O217" s="145"/>
    </row>
    <row r="218" spans="2:15">
      <c r="B218" s="7">
        <v>215</v>
      </c>
      <c r="C218" s="178" t="s">
        <v>169</v>
      </c>
      <c r="D218" s="179" t="s">
        <v>170</v>
      </c>
      <c r="E218" s="180">
        <v>23566740</v>
      </c>
      <c r="F218" s="180">
        <v>573524</v>
      </c>
      <c r="G218" s="180">
        <v>950726</v>
      </c>
      <c r="H218" s="180">
        <v>1311025</v>
      </c>
      <c r="I218" s="180">
        <v>798955</v>
      </c>
      <c r="J218" s="196"/>
      <c r="K218" s="196"/>
      <c r="L218" s="196"/>
      <c r="M218" s="196"/>
      <c r="N218" s="196"/>
      <c r="O218" s="196"/>
    </row>
    <row r="219" spans="2:15" ht="15">
      <c r="B219" s="7">
        <v>216</v>
      </c>
      <c r="C219" s="146" t="s">
        <v>164</v>
      </c>
      <c r="D219" s="146"/>
      <c r="E219" s="147"/>
      <c r="F219" s="147"/>
      <c r="G219" s="147"/>
      <c r="H219" s="147"/>
      <c r="I219" s="147"/>
      <c r="J219" s="146"/>
      <c r="K219" s="146"/>
      <c r="L219" s="146"/>
      <c r="M219" s="146"/>
      <c r="N219" s="146"/>
      <c r="O219" s="146"/>
    </row>
    <row r="220" spans="2:15" ht="12.6">
      <c r="B220" s="7">
        <v>217</v>
      </c>
      <c r="C220" s="145"/>
      <c r="D220" s="145"/>
      <c r="E220" s="145"/>
      <c r="F220" s="145"/>
      <c r="G220" s="145"/>
      <c r="H220" s="145"/>
      <c r="I220" s="145"/>
      <c r="J220" s="145"/>
      <c r="K220" s="145"/>
      <c r="L220" s="145"/>
      <c r="M220" s="145"/>
      <c r="N220" s="145"/>
      <c r="O220" s="145"/>
    </row>
    <row r="221" spans="2:15" ht="12">
      <c r="B221" s="7">
        <v>218</v>
      </c>
      <c r="C221" s="178" t="s">
        <v>171</v>
      </c>
      <c r="D221" s="182" t="s">
        <v>172</v>
      </c>
      <c r="E221" s="196">
        <v>0.22498180405077908</v>
      </c>
      <c r="F221" s="196">
        <v>6.2544051513101504</v>
      </c>
      <c r="G221" s="196">
        <v>6.4321139529159801</v>
      </c>
      <c r="H221" s="196">
        <v>6.3126511088652002</v>
      </c>
      <c r="I221" s="196">
        <v>6.56043326595365</v>
      </c>
      <c r="J221" s="196"/>
      <c r="K221" s="196"/>
      <c r="L221" s="196"/>
      <c r="M221" s="196"/>
      <c r="N221" s="196"/>
      <c r="O221" s="196"/>
    </row>
    <row r="222" spans="2:15" ht="48">
      <c r="B222" s="7">
        <v>219</v>
      </c>
      <c r="C222" s="178" t="s">
        <v>173</v>
      </c>
      <c r="D222" s="182" t="s">
        <v>283</v>
      </c>
      <c r="E222" s="196">
        <v>0.22957588995042982</v>
      </c>
      <c r="F222" s="196">
        <v>6.3780627015335503</v>
      </c>
      <c r="G222" s="196">
        <v>6.5665600302727496</v>
      </c>
      <c r="H222" s="196">
        <v>6.4317276284507301</v>
      </c>
      <c r="I222" s="196">
        <v>6.6875267003697596</v>
      </c>
      <c r="J222" s="196"/>
      <c r="K222" s="196"/>
      <c r="L222" s="196"/>
      <c r="M222" s="196"/>
      <c r="N222" s="196"/>
      <c r="O222" s="196"/>
    </row>
    <row r="223" spans="2:15" ht="15">
      <c r="B223" s="7">
        <v>220</v>
      </c>
      <c r="C223" s="146" t="s">
        <v>164</v>
      </c>
      <c r="D223" s="146"/>
      <c r="E223" s="147"/>
      <c r="F223" s="147"/>
      <c r="G223" s="147"/>
      <c r="H223" s="147"/>
      <c r="I223" s="147"/>
      <c r="J223" s="146"/>
      <c r="K223" s="146"/>
      <c r="L223" s="146"/>
      <c r="M223" s="146"/>
      <c r="N223" s="146"/>
      <c r="O223" s="146"/>
    </row>
    <row r="224" spans="2:15" ht="12.6">
      <c r="B224" s="7">
        <v>221</v>
      </c>
      <c r="C224" s="145"/>
      <c r="D224" s="145"/>
      <c r="E224" s="145"/>
      <c r="F224" s="145"/>
      <c r="G224" s="145"/>
      <c r="H224" s="145"/>
      <c r="I224" s="145"/>
      <c r="J224" s="145"/>
      <c r="K224" s="145"/>
      <c r="L224" s="145"/>
      <c r="M224" s="145"/>
      <c r="N224" s="145"/>
      <c r="O224" s="145"/>
    </row>
    <row r="225" spans="2:15">
      <c r="B225" s="7">
        <v>222</v>
      </c>
      <c r="C225" s="178"/>
      <c r="D225" s="179" t="s">
        <v>165</v>
      </c>
      <c r="E225" s="178"/>
      <c r="F225" s="178"/>
      <c r="G225" s="178"/>
      <c r="H225" s="178"/>
      <c r="I225" s="178"/>
      <c r="J225" s="178"/>
      <c r="K225" s="178"/>
      <c r="L225" s="178"/>
      <c r="M225" s="178"/>
      <c r="N225" s="178"/>
      <c r="O225" s="178"/>
    </row>
    <row r="226" spans="2:15" ht="15">
      <c r="B226" s="7">
        <v>223</v>
      </c>
      <c r="C226" s="146" t="s">
        <v>164</v>
      </c>
      <c r="D226" s="146"/>
      <c r="E226" s="147"/>
      <c r="F226" s="147"/>
      <c r="G226" s="147"/>
      <c r="H226" s="147"/>
      <c r="I226" s="147"/>
      <c r="J226" s="146"/>
      <c r="K226" s="146"/>
      <c r="L226" s="146"/>
      <c r="M226" s="146"/>
      <c r="N226" s="146"/>
      <c r="O226" s="146"/>
    </row>
    <row r="227" spans="2:15" ht="12.6">
      <c r="B227" s="7">
        <v>224</v>
      </c>
      <c r="C227" s="145"/>
      <c r="D227" s="145"/>
      <c r="E227" s="145"/>
      <c r="F227" s="145"/>
      <c r="G227" s="145"/>
      <c r="H227" s="145"/>
      <c r="I227" s="145"/>
      <c r="J227" s="145"/>
      <c r="K227" s="145"/>
      <c r="L227" s="145"/>
      <c r="M227" s="145"/>
      <c r="N227" s="145"/>
      <c r="O227" s="145"/>
    </row>
    <row r="228" spans="2:15">
      <c r="B228" s="7">
        <v>225</v>
      </c>
      <c r="C228" s="178"/>
      <c r="D228" s="179" t="s">
        <v>43</v>
      </c>
      <c r="E228" s="196">
        <v>808512.67779999995</v>
      </c>
      <c r="F228" s="196">
        <v>480500.1</v>
      </c>
      <c r="G228" s="196">
        <v>678683.53</v>
      </c>
      <c r="H228" s="196">
        <v>1168963.75</v>
      </c>
      <c r="I228" s="196">
        <v>741401.96</v>
      </c>
      <c r="J228" s="196"/>
      <c r="K228" s="196"/>
      <c r="L228" s="196"/>
      <c r="M228" s="196"/>
      <c r="N228" s="196"/>
      <c r="O228" s="196"/>
    </row>
    <row r="229" spans="2:15">
      <c r="B229" s="7">
        <v>226</v>
      </c>
      <c r="C229" s="178"/>
      <c r="D229" s="179" t="s">
        <v>44</v>
      </c>
      <c r="E229" s="196">
        <v>7.8491999999999997</v>
      </c>
      <c r="F229" s="196">
        <v>3.34</v>
      </c>
      <c r="G229" s="196">
        <v>6.74</v>
      </c>
      <c r="H229" s="196">
        <v>9.2899999999999991</v>
      </c>
      <c r="I229" s="196">
        <v>6.87</v>
      </c>
      <c r="J229" s="196"/>
      <c r="K229" s="196"/>
      <c r="L229" s="196"/>
      <c r="M229" s="196"/>
      <c r="N229" s="196"/>
      <c r="O229" s="196"/>
    </row>
    <row r="230" spans="2:15" ht="24">
      <c r="B230" s="7">
        <v>227</v>
      </c>
      <c r="C230" s="197"/>
      <c r="D230" s="198" t="s">
        <v>166</v>
      </c>
      <c r="E230" s="199">
        <v>95795.34096799999</v>
      </c>
      <c r="F230" s="199">
        <v>143862.30540000001</v>
      </c>
      <c r="G230" s="199">
        <v>100694.8858</v>
      </c>
      <c r="H230" s="199">
        <v>125830.32829999999</v>
      </c>
      <c r="I230" s="199">
        <v>107918.7715</v>
      </c>
      <c r="J230" s="199"/>
      <c r="K230" s="199"/>
      <c r="L230" s="199"/>
      <c r="M230" s="199"/>
      <c r="N230" s="199"/>
      <c r="O230" s="199"/>
    </row>
    <row r="231" spans="2:15" ht="15">
      <c r="B231" s="7">
        <v>228</v>
      </c>
      <c r="C231" s="146" t="s">
        <v>164</v>
      </c>
      <c r="D231" s="146"/>
      <c r="E231" s="147"/>
      <c r="F231" s="147"/>
      <c r="G231" s="147"/>
      <c r="H231" s="147"/>
      <c r="I231" s="147"/>
      <c r="J231" s="146"/>
      <c r="K231" s="146"/>
      <c r="L231" s="146"/>
      <c r="M231" s="146"/>
      <c r="N231" s="146"/>
      <c r="O231" s="146"/>
    </row>
    <row r="232" spans="2:15" ht="12.6">
      <c r="B232" s="7">
        <v>229</v>
      </c>
      <c r="C232" s="145"/>
      <c r="D232" s="145"/>
      <c r="E232" s="145"/>
      <c r="F232" s="145"/>
      <c r="G232" s="145"/>
      <c r="H232" s="145"/>
      <c r="I232" s="145"/>
      <c r="J232" s="145"/>
      <c r="K232" s="145"/>
      <c r="L232" s="145"/>
      <c r="M232" s="145"/>
      <c r="N232" s="145"/>
      <c r="O232" s="145"/>
    </row>
    <row r="233" spans="2:15">
      <c r="B233" s="7">
        <v>230</v>
      </c>
      <c r="C233" s="178"/>
      <c r="D233" s="179" t="s">
        <v>45</v>
      </c>
      <c r="E233" s="196"/>
      <c r="F233" s="196">
        <v>95313.19</v>
      </c>
      <c r="G233" s="196">
        <v>188492.52</v>
      </c>
      <c r="H233" s="196">
        <v>244142.68</v>
      </c>
      <c r="I233" s="196">
        <v>126711.67999999999</v>
      </c>
      <c r="J233" s="196"/>
      <c r="K233" s="196"/>
      <c r="L233" s="196"/>
      <c r="M233" s="196"/>
      <c r="N233" s="196"/>
      <c r="O233" s="196"/>
    </row>
    <row r="234" spans="2:15">
      <c r="B234" s="7">
        <v>231</v>
      </c>
      <c r="C234" s="178"/>
      <c r="D234" s="179" t="s">
        <v>46</v>
      </c>
      <c r="E234" s="196">
        <v>3.2806000000000002</v>
      </c>
      <c r="F234" s="196">
        <v>2.23</v>
      </c>
      <c r="G234" s="196">
        <v>4.08</v>
      </c>
      <c r="H234" s="196">
        <v>4.25</v>
      </c>
      <c r="I234" s="196">
        <v>2.39</v>
      </c>
      <c r="J234" s="196"/>
      <c r="K234" s="196"/>
      <c r="L234" s="196"/>
      <c r="M234" s="196"/>
      <c r="N234" s="196"/>
      <c r="O234" s="196"/>
    </row>
    <row r="235" spans="2:15" ht="12">
      <c r="B235" s="7">
        <v>232</v>
      </c>
      <c r="C235" s="197"/>
      <c r="D235" s="198" t="s">
        <v>47</v>
      </c>
      <c r="E235" s="199">
        <v>46839.465633</v>
      </c>
      <c r="F235" s="199">
        <v>42741.340799999998</v>
      </c>
      <c r="G235" s="199">
        <v>46199.147100000002</v>
      </c>
      <c r="H235" s="199">
        <v>57445.336499999998</v>
      </c>
      <c r="I235" s="199">
        <v>53017.439299999998</v>
      </c>
      <c r="J235" s="199"/>
      <c r="K235" s="199"/>
      <c r="L235" s="199"/>
      <c r="M235" s="199"/>
      <c r="N235" s="199"/>
      <c r="O235" s="199"/>
    </row>
    <row r="236" spans="2:15" ht="15">
      <c r="B236" s="7">
        <v>233</v>
      </c>
      <c r="C236" s="146" t="s">
        <v>164</v>
      </c>
      <c r="D236" s="146"/>
      <c r="E236" s="147"/>
      <c r="F236" s="147"/>
      <c r="G236" s="147"/>
      <c r="H236" s="147"/>
      <c r="I236" s="147"/>
      <c r="J236" s="146"/>
      <c r="K236" s="146"/>
      <c r="L236" s="146"/>
      <c r="M236" s="146"/>
      <c r="N236" s="146"/>
      <c r="O236" s="146"/>
    </row>
    <row r="237" spans="2:15" ht="12.6">
      <c r="B237" s="7">
        <v>234</v>
      </c>
      <c r="C237" s="145"/>
      <c r="D237" s="145"/>
      <c r="E237" s="145"/>
      <c r="F237" s="145"/>
      <c r="G237" s="145"/>
      <c r="H237" s="145"/>
      <c r="I237" s="145"/>
      <c r="J237" s="145"/>
      <c r="K237" s="145"/>
      <c r="L237" s="145"/>
      <c r="M237" s="145"/>
      <c r="N237" s="145"/>
      <c r="O237" s="145"/>
    </row>
    <row r="238" spans="2:15">
      <c r="B238" s="7">
        <v>235</v>
      </c>
      <c r="C238" s="178"/>
      <c r="D238" s="179" t="s">
        <v>150</v>
      </c>
      <c r="E238" s="196">
        <v>0</v>
      </c>
      <c r="F238" s="196">
        <v>0</v>
      </c>
      <c r="G238" s="196">
        <v>0</v>
      </c>
      <c r="H238" s="196">
        <v>0</v>
      </c>
      <c r="I238" s="196">
        <v>0</v>
      </c>
      <c r="J238" s="196"/>
      <c r="K238" s="196"/>
      <c r="L238" s="196"/>
      <c r="M238" s="196"/>
      <c r="N238" s="196"/>
      <c r="O238" s="196"/>
    </row>
    <row r="239" spans="2:15">
      <c r="B239" s="7">
        <v>236</v>
      </c>
      <c r="C239" s="178"/>
      <c r="D239" s="179" t="s">
        <v>284</v>
      </c>
      <c r="E239" s="196">
        <v>0</v>
      </c>
      <c r="F239" s="196">
        <v>0</v>
      </c>
      <c r="G239" s="196">
        <v>0</v>
      </c>
      <c r="H239" s="196">
        <v>0</v>
      </c>
      <c r="I239" s="196">
        <v>0</v>
      </c>
      <c r="J239" s="196"/>
      <c r="K239" s="196"/>
      <c r="L239" s="196"/>
      <c r="M239" s="196"/>
      <c r="N239" s="196"/>
      <c r="O239" s="196"/>
    </row>
    <row r="240" spans="2:15" ht="24">
      <c r="B240" s="7">
        <v>237</v>
      </c>
      <c r="C240" s="200"/>
      <c r="D240" s="201" t="s">
        <v>151</v>
      </c>
      <c r="E240" s="202" t="s">
        <v>154</v>
      </c>
      <c r="F240" s="202" t="s">
        <v>154</v>
      </c>
      <c r="G240" s="202" t="s">
        <v>154</v>
      </c>
      <c r="H240" s="202" t="s">
        <v>154</v>
      </c>
      <c r="I240" s="202" t="s">
        <v>154</v>
      </c>
      <c r="J240" s="202"/>
      <c r="K240" s="202"/>
      <c r="L240" s="202"/>
      <c r="M240" s="202"/>
      <c r="N240" s="202"/>
      <c r="O240" s="202"/>
    </row>
    <row r="241" spans="2:15" ht="15">
      <c r="B241" s="7">
        <v>238</v>
      </c>
      <c r="C241" s="146" t="s">
        <v>164</v>
      </c>
      <c r="D241" s="146"/>
      <c r="E241" s="147"/>
      <c r="F241" s="147"/>
      <c r="G241" s="147"/>
      <c r="H241" s="147"/>
      <c r="I241" s="147"/>
      <c r="J241" s="146"/>
      <c r="K241" s="146"/>
      <c r="L241" s="146"/>
      <c r="M241" s="146"/>
      <c r="N241" s="146"/>
      <c r="O241" s="146"/>
    </row>
    <row r="242" spans="2:15" ht="12.6">
      <c r="B242" s="7">
        <v>239</v>
      </c>
      <c r="C242" s="145"/>
      <c r="D242" s="145"/>
      <c r="E242" s="145"/>
      <c r="F242" s="145"/>
      <c r="G242" s="145"/>
      <c r="H242" s="145"/>
      <c r="I242" s="145"/>
      <c r="J242" s="145"/>
      <c r="K242" s="145"/>
      <c r="L242" s="145"/>
      <c r="M242" s="145"/>
      <c r="N242" s="145"/>
      <c r="O242" s="145"/>
    </row>
    <row r="243" spans="2:15">
      <c r="B243" s="7">
        <v>240</v>
      </c>
      <c r="C243" s="178"/>
      <c r="D243" s="179" t="s">
        <v>48</v>
      </c>
      <c r="E243" s="196">
        <v>1864345.7664000001</v>
      </c>
      <c r="F243" s="196">
        <v>1095768.26</v>
      </c>
      <c r="G243" s="196">
        <v>2094205.79</v>
      </c>
      <c r="H243" s="196">
        <v>3173619.27</v>
      </c>
      <c r="I243" s="196">
        <v>1978126.96</v>
      </c>
      <c r="J243" s="196"/>
      <c r="K243" s="196"/>
      <c r="L243" s="196"/>
      <c r="M243" s="196"/>
      <c r="N243" s="196"/>
      <c r="O243" s="196"/>
    </row>
    <row r="244" spans="2:15">
      <c r="B244" s="7">
        <v>241</v>
      </c>
      <c r="C244" s="178"/>
      <c r="D244" s="179" t="s">
        <v>49</v>
      </c>
      <c r="E244" s="196">
        <v>35.7864</v>
      </c>
      <c r="F244" s="196">
        <v>20.420000000000002</v>
      </c>
      <c r="G244" s="196">
        <v>35.479999999999997</v>
      </c>
      <c r="H244" s="196">
        <v>58.57</v>
      </c>
      <c r="I244" s="196">
        <v>37.229999999999997</v>
      </c>
      <c r="J244" s="196"/>
      <c r="K244" s="196"/>
      <c r="L244" s="196"/>
      <c r="M244" s="196"/>
      <c r="N244" s="196"/>
      <c r="O244" s="196"/>
    </row>
    <row r="245" spans="2:15" ht="12">
      <c r="B245" s="7">
        <v>242</v>
      </c>
      <c r="C245" s="203"/>
      <c r="D245" s="204" t="s">
        <v>50</v>
      </c>
      <c r="E245" s="205">
        <v>48449.734079999995</v>
      </c>
      <c r="F245" s="205">
        <v>53661.521099999998</v>
      </c>
      <c r="G245" s="205">
        <v>59024.965900000003</v>
      </c>
      <c r="H245" s="205">
        <v>54185.065199999997</v>
      </c>
      <c r="I245" s="205">
        <v>53132.607000000004</v>
      </c>
      <c r="J245" s="205"/>
      <c r="K245" s="205"/>
      <c r="L245" s="205"/>
      <c r="M245" s="205"/>
      <c r="N245" s="205"/>
      <c r="O245" s="205"/>
    </row>
    <row r="246" spans="2:15" ht="15">
      <c r="B246" s="7">
        <v>243</v>
      </c>
      <c r="C246" s="146" t="s">
        <v>164</v>
      </c>
      <c r="D246" s="146"/>
      <c r="E246" s="147"/>
      <c r="F246" s="147"/>
      <c r="G246" s="147"/>
      <c r="H246" s="147"/>
      <c r="I246" s="147"/>
      <c r="J246" s="146"/>
      <c r="K246" s="146"/>
      <c r="L246" s="146"/>
      <c r="M246" s="146"/>
      <c r="N246" s="146"/>
      <c r="O246" s="146"/>
    </row>
    <row r="247" spans="2:15" ht="12.6">
      <c r="B247" s="7">
        <v>244</v>
      </c>
      <c r="C247" s="145"/>
      <c r="D247" s="145"/>
      <c r="E247" s="145"/>
      <c r="F247" s="145"/>
      <c r="G247" s="145"/>
      <c r="H247" s="145"/>
      <c r="I247" s="145"/>
      <c r="J247" s="145"/>
      <c r="K247" s="145"/>
      <c r="L247" s="145"/>
      <c r="M247" s="145"/>
      <c r="N247" s="145"/>
      <c r="O247" s="145"/>
    </row>
    <row r="248" spans="2:15">
      <c r="B248" s="7">
        <v>245</v>
      </c>
      <c r="C248" s="178"/>
      <c r="D248" s="179" t="s">
        <v>51</v>
      </c>
      <c r="E248" s="196">
        <v>694487.78150000004</v>
      </c>
      <c r="F248" s="196">
        <v>688756.44</v>
      </c>
      <c r="G248" s="196">
        <v>988673.67</v>
      </c>
      <c r="H248" s="196">
        <v>964618.93</v>
      </c>
      <c r="I248" s="196">
        <v>766441.54</v>
      </c>
      <c r="J248" s="196"/>
      <c r="K248" s="196"/>
      <c r="L248" s="196"/>
      <c r="M248" s="196"/>
      <c r="N248" s="196"/>
      <c r="O248" s="196"/>
    </row>
    <row r="249" spans="2:15">
      <c r="B249" s="7">
        <v>246</v>
      </c>
      <c r="C249" s="178"/>
      <c r="D249" s="179" t="s">
        <v>52</v>
      </c>
      <c r="E249" s="196">
        <v>16.540800000000001</v>
      </c>
      <c r="F249" s="196">
        <v>51.03</v>
      </c>
      <c r="G249" s="196">
        <v>20.62</v>
      </c>
      <c r="H249" s="196">
        <v>14.19</v>
      </c>
      <c r="I249" s="196">
        <v>12.08</v>
      </c>
      <c r="J249" s="196"/>
      <c r="K249" s="196"/>
      <c r="L249" s="196"/>
      <c r="M249" s="196"/>
      <c r="N249" s="196"/>
      <c r="O249" s="196"/>
    </row>
    <row r="250" spans="2:15" ht="12">
      <c r="B250" s="7">
        <v>247</v>
      </c>
      <c r="C250" s="206"/>
      <c r="D250" s="207" t="s">
        <v>53</v>
      </c>
      <c r="E250" s="208">
        <v>40306.893834999995</v>
      </c>
      <c r="F250" s="208">
        <v>13497.0888</v>
      </c>
      <c r="G250" s="208">
        <v>47947.316700000003</v>
      </c>
      <c r="H250" s="208">
        <v>67978.782900000006</v>
      </c>
      <c r="I250" s="208">
        <v>63447.147400000002</v>
      </c>
      <c r="J250" s="208"/>
      <c r="K250" s="208"/>
      <c r="L250" s="208"/>
      <c r="M250" s="208"/>
      <c r="N250" s="208"/>
      <c r="O250" s="208"/>
    </row>
    <row r="251" spans="2:15" ht="15">
      <c r="B251" s="7">
        <v>248</v>
      </c>
      <c r="C251" s="146" t="s">
        <v>164</v>
      </c>
      <c r="D251" s="146"/>
      <c r="E251" s="147"/>
      <c r="F251" s="147"/>
      <c r="G251" s="147"/>
      <c r="H251" s="147"/>
      <c r="I251" s="147"/>
      <c r="J251" s="146"/>
      <c r="K251" s="146"/>
      <c r="L251" s="146"/>
      <c r="M251" s="146"/>
      <c r="N251" s="146"/>
      <c r="O251" s="146"/>
    </row>
    <row r="252" spans="2:15" ht="12.6">
      <c r="B252" s="7">
        <v>249</v>
      </c>
      <c r="C252" s="145"/>
      <c r="D252" s="145"/>
      <c r="E252" s="145"/>
      <c r="F252" s="145"/>
      <c r="G252" s="145"/>
      <c r="H252" s="145"/>
      <c r="I252" s="145"/>
      <c r="J252" s="145"/>
      <c r="K252" s="145"/>
      <c r="L252" s="145"/>
      <c r="M252" s="145"/>
      <c r="N252" s="145"/>
      <c r="O252" s="145"/>
    </row>
    <row r="253" spans="2:15">
      <c r="B253" s="7">
        <v>250</v>
      </c>
      <c r="C253" s="178"/>
      <c r="D253" s="179" t="s">
        <v>54</v>
      </c>
      <c r="E253" s="196">
        <v>2459221.2812000001</v>
      </c>
      <c r="F253" s="196">
        <v>1784524.7</v>
      </c>
      <c r="G253" s="196">
        <v>3082879.46</v>
      </c>
      <c r="H253" s="196">
        <v>4138238.2</v>
      </c>
      <c r="I253" s="196">
        <v>2744568.5</v>
      </c>
      <c r="J253" s="196"/>
      <c r="K253" s="196"/>
      <c r="L253" s="196"/>
      <c r="M253" s="196"/>
      <c r="N253" s="196"/>
      <c r="O253" s="196"/>
    </row>
    <row r="254" spans="2:15">
      <c r="B254" s="7">
        <v>251</v>
      </c>
      <c r="C254" s="178"/>
      <c r="D254" s="179" t="s">
        <v>55</v>
      </c>
      <c r="E254" s="196">
        <v>51.810300000000005</v>
      </c>
      <c r="F254" s="196">
        <v>71.45</v>
      </c>
      <c r="G254" s="196">
        <v>56.1</v>
      </c>
      <c r="H254" s="196">
        <v>72.760000000000005</v>
      </c>
      <c r="I254" s="196">
        <v>49.31</v>
      </c>
      <c r="J254" s="196"/>
      <c r="K254" s="196"/>
      <c r="L254" s="196"/>
      <c r="M254" s="196"/>
      <c r="N254" s="196"/>
      <c r="O254" s="196"/>
    </row>
    <row r="255" spans="2:15" ht="12">
      <c r="B255" s="7">
        <v>252</v>
      </c>
      <c r="C255" s="209"/>
      <c r="D255" s="210" t="s">
        <v>56</v>
      </c>
      <c r="E255" s="211">
        <v>45582.719024999999</v>
      </c>
      <c r="F255" s="211">
        <v>24975.852999999999</v>
      </c>
      <c r="G255" s="211">
        <v>54953.288099999998</v>
      </c>
      <c r="H255" s="211">
        <v>56875.181400000001</v>
      </c>
      <c r="I255" s="211">
        <v>55659.470699999998</v>
      </c>
      <c r="J255" s="211"/>
      <c r="K255" s="211"/>
      <c r="L255" s="211"/>
      <c r="M255" s="211"/>
      <c r="N255" s="211"/>
      <c r="O255" s="211"/>
    </row>
    <row r="256" spans="2:15" ht="15">
      <c r="B256" s="7">
        <v>253</v>
      </c>
      <c r="C256" s="146" t="s">
        <v>164</v>
      </c>
      <c r="D256" s="146"/>
      <c r="E256" s="147"/>
      <c r="F256" s="147"/>
      <c r="G256" s="147"/>
      <c r="H256" s="147"/>
      <c r="I256" s="147"/>
      <c r="J256" s="146"/>
      <c r="K256" s="146"/>
      <c r="L256" s="146"/>
      <c r="M256" s="146"/>
      <c r="N256" s="146"/>
      <c r="O256" s="146"/>
    </row>
    <row r="257" spans="2:15" ht="12.6">
      <c r="B257" s="7">
        <v>254</v>
      </c>
      <c r="C257" s="145"/>
      <c r="D257" s="145"/>
      <c r="E257" s="145"/>
      <c r="F257" s="145"/>
      <c r="G257" s="145"/>
      <c r="H257" s="145"/>
      <c r="I257" s="145"/>
      <c r="J257" s="145"/>
      <c r="K257" s="145"/>
      <c r="L257" s="145"/>
      <c r="M257" s="145"/>
      <c r="N257" s="145"/>
      <c r="O257" s="145"/>
    </row>
    <row r="258" spans="2:15" ht="24">
      <c r="B258" s="7">
        <v>255</v>
      </c>
      <c r="C258" s="212"/>
      <c r="D258" s="213" t="s">
        <v>219</v>
      </c>
      <c r="E258" s="214" t="s">
        <v>154</v>
      </c>
      <c r="F258" s="214" t="s">
        <v>154</v>
      </c>
      <c r="G258" s="214" t="s">
        <v>154</v>
      </c>
      <c r="H258" s="214" t="s">
        <v>154</v>
      </c>
      <c r="I258" s="214" t="s">
        <v>154</v>
      </c>
      <c r="J258" s="214"/>
      <c r="K258" s="214"/>
      <c r="L258" s="214"/>
      <c r="M258" s="214"/>
      <c r="N258" s="214"/>
      <c r="O258" s="214"/>
    </row>
    <row r="259" spans="2:15">
      <c r="B259" s="7">
        <v>256</v>
      </c>
      <c r="C259" s="178" t="s">
        <v>212</v>
      </c>
      <c r="D259" s="179" t="s">
        <v>213</v>
      </c>
      <c r="E259" s="180">
        <v>114146.13709999999</v>
      </c>
      <c r="F259" s="180">
        <v>64398.82</v>
      </c>
      <c r="G259" s="180">
        <v>87036.55</v>
      </c>
      <c r="H259" s="180">
        <v>151709.35</v>
      </c>
      <c r="I259" s="180">
        <v>79525.52</v>
      </c>
      <c r="J259" s="180"/>
      <c r="K259" s="180"/>
      <c r="L259" s="180"/>
      <c r="M259" s="180"/>
      <c r="N259" s="180"/>
      <c r="O259" s="180"/>
    </row>
    <row r="260" spans="2:15">
      <c r="B260" s="7">
        <v>257</v>
      </c>
      <c r="C260" s="178" t="s">
        <v>214</v>
      </c>
      <c r="D260" s="179" t="s">
        <v>215</v>
      </c>
      <c r="E260" s="180">
        <v>858783.92639999988</v>
      </c>
      <c r="F260" s="180">
        <v>501350.6</v>
      </c>
      <c r="G260" s="180">
        <v>710608.34</v>
      </c>
      <c r="H260" s="180">
        <v>1212746.72</v>
      </c>
      <c r="I260" s="180">
        <v>775322.52</v>
      </c>
      <c r="J260" s="180"/>
      <c r="K260" s="180"/>
      <c r="L260" s="180"/>
      <c r="M260" s="180"/>
      <c r="N260" s="180"/>
      <c r="O260" s="180"/>
    </row>
    <row r="261" spans="2:15">
      <c r="B261" s="7">
        <v>258</v>
      </c>
      <c r="C261" s="178" t="s">
        <v>220</v>
      </c>
      <c r="D261" s="179" t="s">
        <v>221</v>
      </c>
      <c r="E261" s="180">
        <v>183657.17119999998</v>
      </c>
      <c r="F261" s="180">
        <v>168155.18</v>
      </c>
      <c r="G261" s="180">
        <v>258862.59</v>
      </c>
      <c r="H261" s="180">
        <v>311123.73</v>
      </c>
      <c r="I261" s="180">
        <v>195163.07</v>
      </c>
      <c r="J261" s="180"/>
      <c r="K261" s="180"/>
      <c r="L261" s="180"/>
      <c r="M261" s="180"/>
      <c r="N261" s="180"/>
      <c r="O261" s="180"/>
    </row>
    <row r="262" spans="2:15">
      <c r="B262" s="7">
        <v>259</v>
      </c>
      <c r="C262" s="178" t="s">
        <v>216</v>
      </c>
      <c r="D262" s="179" t="s">
        <v>217</v>
      </c>
      <c r="E262" s="180">
        <v>158413.97</v>
      </c>
      <c r="F262" s="180">
        <v>95313.19</v>
      </c>
      <c r="G262" s="180">
        <v>188492.52</v>
      </c>
      <c r="H262" s="180">
        <v>244142.68</v>
      </c>
      <c r="I262" s="180">
        <v>126711.67999999999</v>
      </c>
      <c r="J262" s="180"/>
      <c r="K262" s="180"/>
      <c r="L262" s="180"/>
      <c r="M262" s="180"/>
      <c r="N262" s="180"/>
      <c r="O262" s="180"/>
    </row>
    <row r="263" spans="2:15">
      <c r="B263" s="7">
        <v>260</v>
      </c>
      <c r="C263" s="178" t="s">
        <v>222</v>
      </c>
      <c r="D263" s="179" t="s">
        <v>223</v>
      </c>
      <c r="E263" s="180" t="s">
        <v>154</v>
      </c>
      <c r="F263" s="180" t="s">
        <v>154</v>
      </c>
      <c r="G263" s="180" t="s">
        <v>154</v>
      </c>
      <c r="H263" s="180" t="s">
        <v>154</v>
      </c>
      <c r="I263" s="180" t="s">
        <v>154</v>
      </c>
      <c r="J263" s="180"/>
      <c r="K263" s="180"/>
      <c r="L263" s="180"/>
      <c r="M263" s="180"/>
      <c r="N263" s="180"/>
      <c r="O263" s="180"/>
    </row>
    <row r="264" spans="2:15">
      <c r="B264" s="7">
        <v>261</v>
      </c>
      <c r="C264" s="178" t="s">
        <v>224</v>
      </c>
      <c r="D264" s="179" t="s">
        <v>225</v>
      </c>
      <c r="E264" s="180">
        <v>190.91840000000002</v>
      </c>
      <c r="F264" s="180">
        <v>178.48</v>
      </c>
      <c r="G264" s="180">
        <v>292.42</v>
      </c>
      <c r="H264" s="180">
        <v>339.23</v>
      </c>
      <c r="I264" s="180">
        <v>174.87</v>
      </c>
      <c r="J264" s="180"/>
      <c r="K264" s="180"/>
      <c r="L264" s="180"/>
      <c r="M264" s="180"/>
      <c r="N264" s="180"/>
      <c r="O264" s="180"/>
    </row>
    <row r="265" spans="2:15">
      <c r="B265" s="7">
        <v>262</v>
      </c>
      <c r="C265" s="178" t="s">
        <v>226</v>
      </c>
      <c r="D265" s="179" t="s">
        <v>227</v>
      </c>
      <c r="E265" s="180">
        <v>12614.3408</v>
      </c>
      <c r="F265" s="180">
        <v>8138.38</v>
      </c>
      <c r="G265" s="180">
        <v>14155.73</v>
      </c>
      <c r="H265" s="180">
        <v>18879.650000000001</v>
      </c>
      <c r="I265" s="180">
        <v>13238.71</v>
      </c>
      <c r="J265" s="180"/>
      <c r="K265" s="180"/>
      <c r="L265" s="180"/>
      <c r="M265" s="180"/>
      <c r="N265" s="180"/>
      <c r="O265" s="180"/>
    </row>
    <row r="266" spans="2:15">
      <c r="B266" s="7">
        <v>263</v>
      </c>
      <c r="C266" s="178" t="s">
        <v>228</v>
      </c>
      <c r="D266" s="179" t="s">
        <v>229</v>
      </c>
      <c r="E266" s="180">
        <v>1826249.8694</v>
      </c>
      <c r="F266" s="180">
        <v>1096368.24</v>
      </c>
      <c r="G266" s="180">
        <v>2095085.52</v>
      </c>
      <c r="H266" s="180">
        <v>3174845.19</v>
      </c>
      <c r="I266" s="180">
        <v>1978942.38</v>
      </c>
      <c r="J266" s="180"/>
      <c r="K266" s="180"/>
      <c r="L266" s="180"/>
      <c r="M266" s="180"/>
      <c r="N266" s="180"/>
      <c r="O266" s="180"/>
    </row>
    <row r="267" spans="2:15">
      <c r="B267" s="7">
        <v>264</v>
      </c>
      <c r="C267" s="178" t="s">
        <v>230</v>
      </c>
      <c r="D267" s="179" t="s">
        <v>231</v>
      </c>
      <c r="E267" s="180">
        <v>4425.340799999999</v>
      </c>
      <c r="F267" s="180">
        <v>2525.66</v>
      </c>
      <c r="G267" s="180">
        <v>4146.62</v>
      </c>
      <c r="H267" s="180">
        <v>6957.68</v>
      </c>
      <c r="I267" s="180">
        <v>3435.76</v>
      </c>
      <c r="J267" s="180"/>
      <c r="K267" s="180"/>
      <c r="L267" s="180"/>
      <c r="M267" s="180"/>
      <c r="N267" s="180"/>
      <c r="O267" s="180"/>
    </row>
    <row r="268" spans="2:15">
      <c r="B268" s="7">
        <v>265</v>
      </c>
      <c r="C268" s="178" t="s">
        <v>232</v>
      </c>
      <c r="D268" s="179" t="s">
        <v>233</v>
      </c>
      <c r="E268" s="180">
        <v>672556.58840000001</v>
      </c>
      <c r="F268" s="180">
        <v>688756.44</v>
      </c>
      <c r="G268" s="180">
        <v>988673.67</v>
      </c>
      <c r="H268" s="180">
        <v>964618.93</v>
      </c>
      <c r="I268" s="180">
        <v>766441.54</v>
      </c>
      <c r="J268" s="180"/>
      <c r="K268" s="180"/>
      <c r="L268" s="180"/>
      <c r="M268" s="180"/>
      <c r="N268" s="180"/>
      <c r="O268" s="180"/>
    </row>
    <row r="269" spans="2:15">
      <c r="B269" s="7">
        <v>266</v>
      </c>
      <c r="C269" s="178" t="s">
        <v>178</v>
      </c>
      <c r="D269" s="179" t="s">
        <v>179</v>
      </c>
      <c r="E269" s="180" t="s">
        <v>154</v>
      </c>
      <c r="F269" s="180" t="s">
        <v>154</v>
      </c>
      <c r="G269" s="180" t="s">
        <v>154</v>
      </c>
      <c r="H269" s="180" t="s">
        <v>154</v>
      </c>
      <c r="I269" s="180" t="s">
        <v>154</v>
      </c>
      <c r="J269" s="180"/>
      <c r="K269" s="180"/>
      <c r="L269" s="180"/>
      <c r="M269" s="180"/>
      <c r="N269" s="180"/>
      <c r="O269" s="180"/>
    </row>
    <row r="270" spans="2:15" ht="15">
      <c r="B270" s="7">
        <v>267</v>
      </c>
      <c r="C270" s="146" t="s">
        <v>164</v>
      </c>
      <c r="D270" s="146"/>
      <c r="E270" s="147"/>
      <c r="F270" s="147"/>
      <c r="G270" s="147"/>
      <c r="H270" s="147"/>
      <c r="I270" s="147"/>
      <c r="J270" s="146"/>
      <c r="K270" s="146"/>
      <c r="L270" s="146"/>
      <c r="M270" s="146"/>
      <c r="N270" s="146"/>
      <c r="O270" s="146"/>
    </row>
    <row r="271" spans="2:15" ht="12.6">
      <c r="B271" s="7">
        <v>268</v>
      </c>
      <c r="C271" s="145"/>
      <c r="D271" s="145"/>
      <c r="E271" s="145"/>
      <c r="F271" s="145"/>
      <c r="G271" s="145"/>
      <c r="H271" s="145"/>
      <c r="I271" s="145"/>
      <c r="J271" s="145"/>
      <c r="K271" s="145"/>
      <c r="L271" s="145"/>
      <c r="M271" s="145"/>
      <c r="N271" s="145"/>
      <c r="O271" s="145"/>
    </row>
    <row r="272" spans="2:15" ht="24">
      <c r="B272" s="7">
        <v>269</v>
      </c>
      <c r="C272" s="212"/>
      <c r="D272" s="213" t="s">
        <v>177</v>
      </c>
      <c r="E272" s="214" t="s">
        <v>154</v>
      </c>
      <c r="F272" s="214" t="s">
        <v>154</v>
      </c>
      <c r="G272" s="214" t="s">
        <v>154</v>
      </c>
      <c r="H272" s="214" t="s">
        <v>154</v>
      </c>
      <c r="I272" s="214" t="s">
        <v>154</v>
      </c>
      <c r="J272" s="214"/>
      <c r="K272" s="214"/>
      <c r="L272" s="214"/>
      <c r="M272" s="214"/>
      <c r="N272" s="214"/>
      <c r="O272" s="214"/>
    </row>
    <row r="273" spans="2:15" ht="22.8">
      <c r="B273" s="7">
        <v>270</v>
      </c>
      <c r="C273" s="178" t="s">
        <v>180</v>
      </c>
      <c r="D273" s="179" t="s">
        <v>181</v>
      </c>
      <c r="E273" s="180" t="s">
        <v>154</v>
      </c>
      <c r="F273" s="180" t="s">
        <v>154</v>
      </c>
      <c r="G273" s="180" t="s">
        <v>154</v>
      </c>
      <c r="H273" s="180" t="s">
        <v>154</v>
      </c>
      <c r="I273" s="180" t="s">
        <v>154</v>
      </c>
      <c r="J273" s="180"/>
      <c r="K273" s="180"/>
      <c r="L273" s="180"/>
      <c r="M273" s="180"/>
      <c r="N273" s="180"/>
      <c r="O273" s="180"/>
    </row>
    <row r="274" spans="2:15">
      <c r="B274" s="7">
        <v>271</v>
      </c>
      <c r="C274" s="178" t="s">
        <v>182</v>
      </c>
      <c r="D274" s="179" t="s">
        <v>183</v>
      </c>
      <c r="E274" s="180">
        <v>162212.98319999999</v>
      </c>
      <c r="F274" s="180">
        <v>96159.21</v>
      </c>
      <c r="G274" s="180">
        <v>197208.77</v>
      </c>
      <c r="H274" s="180">
        <v>269890.74</v>
      </c>
      <c r="I274" s="180">
        <v>123321.93</v>
      </c>
      <c r="J274" s="180"/>
      <c r="K274" s="180"/>
      <c r="L274" s="180"/>
      <c r="M274" s="180"/>
      <c r="N274" s="180"/>
      <c r="O274" s="180"/>
    </row>
    <row r="275" spans="2:15">
      <c r="B275" s="7">
        <v>272</v>
      </c>
      <c r="C275" s="178" t="s">
        <v>184</v>
      </c>
      <c r="D275" s="179" t="s">
        <v>185</v>
      </c>
      <c r="E275" s="180">
        <v>3245.4012000000002</v>
      </c>
      <c r="F275" s="180">
        <v>1887.93</v>
      </c>
      <c r="G275" s="180">
        <v>2722</v>
      </c>
      <c r="H275" s="180">
        <v>3755.57</v>
      </c>
      <c r="I275" s="180">
        <v>2230.86</v>
      </c>
      <c r="J275" s="180"/>
      <c r="K275" s="180"/>
      <c r="L275" s="180"/>
      <c r="M275" s="180"/>
      <c r="N275" s="180"/>
      <c r="O275" s="180"/>
    </row>
    <row r="276" spans="2:15">
      <c r="B276" s="7">
        <v>273</v>
      </c>
      <c r="C276" s="178" t="s">
        <v>186</v>
      </c>
      <c r="D276" s="179" t="s">
        <v>187</v>
      </c>
      <c r="E276" s="180">
        <v>520.04899999999998</v>
      </c>
      <c r="F276" s="180">
        <v>267.60000000000002</v>
      </c>
      <c r="G276" s="180">
        <v>471.2</v>
      </c>
      <c r="H276" s="180">
        <v>616.44000000000005</v>
      </c>
      <c r="I276" s="180">
        <v>355.29</v>
      </c>
      <c r="J276" s="180"/>
      <c r="K276" s="180"/>
      <c r="L276" s="180"/>
      <c r="M276" s="180"/>
      <c r="N276" s="180"/>
      <c r="O276" s="180"/>
    </row>
    <row r="277" spans="2:15">
      <c r="B277" s="7">
        <v>274</v>
      </c>
      <c r="C277" s="178" t="s">
        <v>188</v>
      </c>
      <c r="D277" s="179" t="s">
        <v>189</v>
      </c>
      <c r="E277" s="180">
        <v>221.15879999999999</v>
      </c>
      <c r="F277" s="180">
        <v>203.05</v>
      </c>
      <c r="G277" s="180">
        <v>243.97</v>
      </c>
      <c r="H277" s="180">
        <v>353.79</v>
      </c>
      <c r="I277" s="180">
        <v>221.92</v>
      </c>
      <c r="J277" s="180"/>
      <c r="K277" s="180"/>
      <c r="L277" s="180"/>
      <c r="M277" s="180"/>
      <c r="N277" s="180"/>
      <c r="O277" s="180"/>
    </row>
    <row r="278" spans="2:15">
      <c r="B278" s="7">
        <v>275</v>
      </c>
      <c r="C278" s="178" t="s">
        <v>190</v>
      </c>
      <c r="D278" s="179" t="s">
        <v>191</v>
      </c>
      <c r="E278" s="180">
        <v>154.34879999999998</v>
      </c>
      <c r="F278" s="180">
        <v>112</v>
      </c>
      <c r="G278" s="180">
        <v>197.23</v>
      </c>
      <c r="H278" s="180">
        <v>235.03</v>
      </c>
      <c r="I278" s="180">
        <v>145.43</v>
      </c>
      <c r="J278" s="180"/>
      <c r="K278" s="180"/>
      <c r="L278" s="180"/>
      <c r="M278" s="180"/>
      <c r="N278" s="180"/>
      <c r="O278" s="180"/>
    </row>
    <row r="279" spans="2:15">
      <c r="B279" s="7">
        <v>276</v>
      </c>
      <c r="C279" s="178" t="s">
        <v>192</v>
      </c>
      <c r="D279" s="179" t="s">
        <v>193</v>
      </c>
      <c r="E279" s="180" t="s">
        <v>154</v>
      </c>
      <c r="F279" s="180" t="s">
        <v>154</v>
      </c>
      <c r="G279" s="180" t="s">
        <v>154</v>
      </c>
      <c r="H279" s="180" t="s">
        <v>154</v>
      </c>
      <c r="I279" s="180" t="s">
        <v>154</v>
      </c>
      <c r="J279" s="180"/>
      <c r="K279" s="180"/>
      <c r="L279" s="180"/>
      <c r="M279" s="180"/>
      <c r="N279" s="180"/>
      <c r="O279" s="180"/>
    </row>
    <row r="280" spans="2:15">
      <c r="B280" s="7">
        <v>277</v>
      </c>
      <c r="C280" s="178" t="s">
        <v>194</v>
      </c>
      <c r="D280" s="179" t="s">
        <v>195</v>
      </c>
      <c r="E280" s="180">
        <v>838839.64230000007</v>
      </c>
      <c r="F280" s="180">
        <v>588904.9</v>
      </c>
      <c r="G280" s="180">
        <v>1059540.18</v>
      </c>
      <c r="H280" s="180">
        <v>1258699.1200000001</v>
      </c>
      <c r="I280" s="180">
        <v>796531.45</v>
      </c>
      <c r="J280" s="180"/>
      <c r="K280" s="180"/>
      <c r="L280" s="180"/>
      <c r="M280" s="180"/>
      <c r="N280" s="180"/>
      <c r="O280" s="180"/>
    </row>
    <row r="281" spans="2:15">
      <c r="B281" s="7">
        <v>278</v>
      </c>
      <c r="C281" s="178" t="s">
        <v>196</v>
      </c>
      <c r="D281" s="179" t="s">
        <v>197</v>
      </c>
      <c r="E281" s="180">
        <v>389308.62339999998</v>
      </c>
      <c r="F281" s="180">
        <v>198935.21</v>
      </c>
      <c r="G281" s="180">
        <v>392073.87</v>
      </c>
      <c r="H281" s="180">
        <v>517739.17</v>
      </c>
      <c r="I281" s="180">
        <v>274319.53999999998</v>
      </c>
      <c r="J281" s="180"/>
      <c r="K281" s="180"/>
      <c r="L281" s="180"/>
      <c r="M281" s="180"/>
      <c r="N281" s="180"/>
      <c r="O281" s="180"/>
    </row>
    <row r="282" spans="2:15">
      <c r="B282" s="7">
        <v>279</v>
      </c>
      <c r="C282" s="178" t="s">
        <v>198</v>
      </c>
      <c r="D282" s="179" t="s">
        <v>199</v>
      </c>
      <c r="E282" s="180">
        <v>147039.90160000001</v>
      </c>
      <c r="F282" s="180">
        <v>91366.69</v>
      </c>
      <c r="G282" s="180">
        <v>145858.47</v>
      </c>
      <c r="H282" s="180">
        <v>173995.04</v>
      </c>
      <c r="I282" s="180">
        <v>132692.91</v>
      </c>
      <c r="J282" s="180"/>
      <c r="K282" s="180"/>
      <c r="L282" s="180"/>
      <c r="M282" s="180"/>
      <c r="N282" s="180"/>
      <c r="O282" s="180"/>
    </row>
    <row r="283" spans="2:15">
      <c r="B283" s="7">
        <v>280</v>
      </c>
      <c r="C283" s="178" t="s">
        <v>200</v>
      </c>
      <c r="D283" s="179" t="s">
        <v>201</v>
      </c>
      <c r="E283" s="180" t="s">
        <v>154</v>
      </c>
      <c r="F283" s="180" t="s">
        <v>154</v>
      </c>
      <c r="G283" s="180" t="s">
        <v>154</v>
      </c>
      <c r="H283" s="180" t="s">
        <v>154</v>
      </c>
      <c r="I283" s="180" t="s">
        <v>154</v>
      </c>
      <c r="J283" s="180"/>
      <c r="K283" s="180"/>
      <c r="L283" s="180"/>
      <c r="M283" s="180"/>
      <c r="N283" s="180"/>
      <c r="O283" s="180"/>
    </row>
    <row r="284" spans="2:15">
      <c r="B284" s="7">
        <v>281</v>
      </c>
      <c r="C284" s="178" t="s">
        <v>202</v>
      </c>
      <c r="D284" s="179" t="s">
        <v>203</v>
      </c>
      <c r="E284" s="180" t="s">
        <v>154</v>
      </c>
      <c r="F284" s="180" t="s">
        <v>154</v>
      </c>
      <c r="G284" s="180" t="s">
        <v>154</v>
      </c>
      <c r="H284" s="180" t="s">
        <v>154</v>
      </c>
      <c r="I284" s="180" t="s">
        <v>154</v>
      </c>
      <c r="J284" s="180"/>
      <c r="K284" s="180"/>
      <c r="L284" s="180"/>
      <c r="M284" s="180"/>
      <c r="N284" s="180"/>
      <c r="O284" s="180"/>
    </row>
    <row r="285" spans="2:15">
      <c r="B285" s="7">
        <v>282</v>
      </c>
      <c r="C285" s="178" t="s">
        <v>204</v>
      </c>
      <c r="D285" s="179" t="s">
        <v>205</v>
      </c>
      <c r="E285" s="180">
        <v>2413.1424000000002</v>
      </c>
      <c r="F285" s="180">
        <v>1380.7</v>
      </c>
      <c r="G285" s="180">
        <v>1860.85</v>
      </c>
      <c r="H285" s="180">
        <v>3279.05</v>
      </c>
      <c r="I285" s="180">
        <v>1936.27</v>
      </c>
      <c r="J285" s="180"/>
      <c r="K285" s="180"/>
      <c r="L285" s="180"/>
      <c r="M285" s="180"/>
      <c r="N285" s="180"/>
      <c r="O285" s="180"/>
    </row>
    <row r="286" spans="2:15">
      <c r="B286" s="7">
        <v>283</v>
      </c>
      <c r="C286" s="178" t="s">
        <v>206</v>
      </c>
      <c r="D286" s="179" t="s">
        <v>207</v>
      </c>
      <c r="E286" s="180" t="s">
        <v>154</v>
      </c>
      <c r="F286" s="180" t="s">
        <v>154</v>
      </c>
      <c r="G286" s="180" t="s">
        <v>154</v>
      </c>
      <c r="H286" s="180" t="s">
        <v>154</v>
      </c>
      <c r="I286" s="180" t="s">
        <v>154</v>
      </c>
      <c r="J286" s="180"/>
      <c r="K286" s="180"/>
      <c r="L286" s="180"/>
      <c r="M286" s="180"/>
      <c r="N286" s="180"/>
      <c r="O286" s="180"/>
    </row>
    <row r="287" spans="2:15" ht="22.8">
      <c r="B287" s="7">
        <v>284</v>
      </c>
      <c r="C287" s="178" t="s">
        <v>208</v>
      </c>
      <c r="D287" s="179" t="s">
        <v>209</v>
      </c>
      <c r="E287" s="180" t="s">
        <v>154</v>
      </c>
      <c r="F287" s="180" t="s">
        <v>154</v>
      </c>
      <c r="G287" s="180" t="s">
        <v>154</v>
      </c>
      <c r="H287" s="180" t="s">
        <v>154</v>
      </c>
      <c r="I287" s="180" t="s">
        <v>154</v>
      </c>
      <c r="J287" s="180"/>
      <c r="K287" s="180"/>
      <c r="L287" s="180"/>
      <c r="M287" s="180"/>
      <c r="N287" s="180"/>
      <c r="O287" s="180"/>
    </row>
    <row r="288" spans="2:15" ht="22.8">
      <c r="B288" s="7">
        <v>285</v>
      </c>
      <c r="C288" s="178" t="s">
        <v>210</v>
      </c>
      <c r="D288" s="179" t="s">
        <v>211</v>
      </c>
      <c r="E288" s="180">
        <v>3079.1673999999998</v>
      </c>
      <c r="F288" s="180">
        <v>1665.29</v>
      </c>
      <c r="G288" s="180">
        <v>3564.57</v>
      </c>
      <c r="H288" s="180">
        <v>4946.76</v>
      </c>
      <c r="I288" s="180">
        <v>2953.5</v>
      </c>
      <c r="J288" s="180"/>
      <c r="K288" s="180"/>
      <c r="L288" s="180"/>
      <c r="M288" s="180"/>
      <c r="N288" s="180"/>
      <c r="O288" s="180"/>
    </row>
    <row r="289" spans="2:15">
      <c r="B289" s="7">
        <v>286</v>
      </c>
    </row>
    <row r="290" spans="2:15">
      <c r="B290" s="7">
        <v>287</v>
      </c>
    </row>
    <row r="291" spans="2:15">
      <c r="B291" s="7">
        <v>288</v>
      </c>
    </row>
    <row r="292" spans="2:15">
      <c r="B292" s="7">
        <v>289</v>
      </c>
    </row>
    <row r="293" spans="2:15">
      <c r="B293" s="7">
        <v>290</v>
      </c>
      <c r="D293" s="156" t="s">
        <v>218</v>
      </c>
      <c r="E293" s="156">
        <v>0.23</v>
      </c>
      <c r="F293" s="156">
        <v>3.3</v>
      </c>
      <c r="G293" s="156">
        <v>4.75</v>
      </c>
      <c r="H293" s="157"/>
      <c r="I293" s="157"/>
      <c r="J293" s="157"/>
      <c r="K293" s="157"/>
      <c r="L293" s="156"/>
      <c r="M293" s="156"/>
      <c r="N293" s="156"/>
      <c r="O293" s="156"/>
    </row>
    <row r="294" spans="2:15">
      <c r="B294" s="7">
        <v>291</v>
      </c>
    </row>
    <row r="295" spans="2:15">
      <c r="B295" s="7">
        <v>292</v>
      </c>
    </row>
    <row r="296" spans="2:15">
      <c r="B296" s="7">
        <v>293</v>
      </c>
    </row>
    <row r="297" spans="2:15">
      <c r="B297" s="7">
        <v>294</v>
      </c>
    </row>
    <row r="298" spans="2:15">
      <c r="B298" s="7">
        <v>295</v>
      </c>
    </row>
  </sheetData>
  <hyperlinks>
    <hyperlink ref="A2" location="'Fiche de contenu détaillée'!C12" display="Retour Fiche" xr:uid="{24F4CCA4-8DD0-47BC-A36B-A84DE35190E5}"/>
  </hyperlinks>
  <pageMargins left="0.7" right="0.7" top="0.75" bottom="0.75" header="0.3" footer="0.3"/>
  <pageSetup paperSize="9" scale="36"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6">
    <pageSetUpPr fitToPage="1"/>
  </sheetPr>
  <dimension ref="B1:U158"/>
  <sheetViews>
    <sheetView showGridLines="0" topLeftCell="A60" zoomScale="85" zoomScaleNormal="85" workbookViewId="0">
      <selection activeCell="F118" sqref="F118"/>
    </sheetView>
  </sheetViews>
  <sheetFormatPr baseColWidth="10" defaultColWidth="10.36328125" defaultRowHeight="12.6" outlineLevelRow="1"/>
  <cols>
    <col min="1" max="1" width="1.90625" style="11" customWidth="1"/>
    <col min="2" max="2" width="2.453125" style="11" customWidth="1"/>
    <col min="3" max="3" width="30.7265625" style="11" customWidth="1"/>
    <col min="4" max="4" width="31.36328125" style="11" bestFit="1" customWidth="1"/>
    <col min="5" max="5" width="0.453125" style="11" customWidth="1"/>
    <col min="6" max="6" width="13.453125" style="11" customWidth="1"/>
    <col min="7" max="7" width="0.453125" style="11" customWidth="1"/>
    <col min="8" max="8" width="11.1796875" style="11" customWidth="1"/>
    <col min="9" max="9" width="7.7265625" style="11" customWidth="1"/>
    <col min="10" max="10" width="13.453125" style="11" bestFit="1" customWidth="1"/>
    <col min="11" max="11" width="0.453125" style="11" customWidth="1"/>
    <col min="12" max="12" width="10.36328125" style="11"/>
    <col min="13" max="14" width="4.36328125" style="11" customWidth="1"/>
    <col min="15" max="15" width="7.26953125" style="11" customWidth="1"/>
    <col min="16" max="16" width="11.453125" style="14" bestFit="1" customWidth="1"/>
    <col min="17" max="17" width="4.36328125" style="11" customWidth="1"/>
    <col min="18" max="18" width="12.26953125" style="11" customWidth="1"/>
    <col min="19" max="19" width="4.36328125" style="11" customWidth="1"/>
    <col min="20" max="16384" width="10.36328125" style="11"/>
  </cols>
  <sheetData>
    <row r="1" spans="2:21" ht="30" customHeight="1">
      <c r="B1" s="269" t="s">
        <v>89</v>
      </c>
      <c r="C1" s="270"/>
      <c r="D1" s="270"/>
      <c r="E1" s="270"/>
      <c r="F1" s="270"/>
      <c r="G1" s="270"/>
      <c r="H1" s="270"/>
      <c r="I1" s="270"/>
      <c r="J1" s="270"/>
      <c r="K1" s="270"/>
      <c r="L1" s="270"/>
      <c r="M1" s="270"/>
      <c r="N1" s="270"/>
      <c r="O1" s="270"/>
      <c r="P1" s="270"/>
      <c r="Q1" s="270"/>
      <c r="R1" s="270"/>
      <c r="S1" s="270"/>
      <c r="U1" s="12"/>
    </row>
    <row r="2" spans="2:21" ht="31.5" customHeight="1">
      <c r="B2" s="271">
        <v>2022</v>
      </c>
      <c r="C2" s="272"/>
      <c r="D2" s="272"/>
      <c r="E2" s="272"/>
      <c r="F2" s="272"/>
      <c r="G2" s="272"/>
      <c r="H2" s="272"/>
      <c r="I2" s="272"/>
      <c r="J2" s="272"/>
      <c r="K2" s="272"/>
      <c r="L2" s="272"/>
      <c r="M2" s="272"/>
      <c r="N2" s="272"/>
      <c r="O2" s="272"/>
      <c r="P2" s="272"/>
      <c r="Q2" s="272"/>
      <c r="R2" s="272"/>
      <c r="S2" s="272"/>
    </row>
    <row r="3" spans="2:21" ht="14.4">
      <c r="B3" s="13"/>
    </row>
    <row r="4" spans="2:21" ht="15" customHeight="1">
      <c r="B4" s="273" t="s">
        <v>107</v>
      </c>
      <c r="C4" s="274"/>
      <c r="D4" s="274"/>
      <c r="E4" s="274"/>
      <c r="F4" s="274"/>
      <c r="G4" s="274"/>
      <c r="H4" s="274"/>
      <c r="I4" s="274"/>
      <c r="J4" s="274"/>
      <c r="K4" s="274"/>
      <c r="L4" s="274"/>
      <c r="M4" s="274"/>
      <c r="N4" s="274"/>
      <c r="O4" s="274"/>
      <c r="P4" s="274"/>
      <c r="Q4" s="274"/>
      <c r="R4" s="275"/>
      <c r="S4" s="15"/>
    </row>
    <row r="5" spans="2:21" ht="15" customHeight="1">
      <c r="B5" s="276"/>
      <c r="C5" s="277"/>
      <c r="D5" s="277"/>
      <c r="E5" s="277"/>
      <c r="F5" s="277"/>
      <c r="G5" s="277"/>
      <c r="H5" s="277"/>
      <c r="I5" s="277"/>
      <c r="J5" s="277"/>
      <c r="K5" s="277"/>
      <c r="L5" s="277"/>
      <c r="M5" s="277"/>
      <c r="N5" s="277"/>
      <c r="O5" s="277"/>
      <c r="P5" s="277"/>
      <c r="Q5" s="277"/>
      <c r="R5" s="278"/>
      <c r="S5" s="15"/>
    </row>
    <row r="6" spans="2:21" ht="15" customHeight="1">
      <c r="B6" s="276"/>
      <c r="C6" s="277"/>
      <c r="D6" s="277"/>
      <c r="E6" s="277"/>
      <c r="F6" s="277"/>
      <c r="G6" s="277"/>
      <c r="H6" s="277"/>
      <c r="I6" s="277"/>
      <c r="J6" s="277"/>
      <c r="K6" s="277"/>
      <c r="L6" s="277"/>
      <c r="M6" s="277"/>
      <c r="N6" s="277"/>
      <c r="O6" s="277"/>
      <c r="P6" s="277"/>
      <c r="Q6" s="277"/>
      <c r="R6" s="278"/>
      <c r="S6" s="15"/>
    </row>
    <row r="7" spans="2:21" ht="15" customHeight="1">
      <c r="B7" s="279"/>
      <c r="C7" s="280"/>
      <c r="D7" s="280"/>
      <c r="E7" s="280"/>
      <c r="F7" s="280"/>
      <c r="G7" s="280"/>
      <c r="H7" s="280"/>
      <c r="I7" s="280"/>
      <c r="J7" s="280"/>
      <c r="K7" s="280"/>
      <c r="L7" s="280"/>
      <c r="M7" s="280"/>
      <c r="N7" s="280"/>
      <c r="O7" s="280"/>
      <c r="P7" s="280"/>
      <c r="Q7" s="280"/>
      <c r="R7" s="281"/>
      <c r="S7" s="15"/>
    </row>
    <row r="9" spans="2:21" s="16" customFormat="1" ht="75" customHeight="1">
      <c r="B9" s="282" t="s">
        <v>286</v>
      </c>
      <c r="C9" s="283"/>
      <c r="D9" s="284"/>
      <c r="F9" s="285" t="str">
        <f>"Données brutes et coûts décomposés de l'ES"
&amp;" "&amp;
"RTC "&amp;B2</f>
        <v>Données brutes et coûts décomposés de l'ES RTC 2022</v>
      </c>
      <c r="G9" s="286"/>
      <c r="H9" s="287"/>
      <c r="J9" s="285" t="str">
        <f>"Données brutes et coûts décomposés de l'ES"
&amp;" "&amp;
"RTC "&amp;B2-1</f>
        <v>Données brutes et coûts décomposés de l'ES RTC 2021</v>
      </c>
      <c r="K9" s="286"/>
      <c r="L9" s="287"/>
      <c r="O9" s="285" t="str">
        <f>"Evolution "&amp;B2&amp;"/"&amp;B2-1</f>
        <v>Evolution 2022/2021</v>
      </c>
      <c r="P9" s="287"/>
      <c r="R9" s="17" t="s">
        <v>292</v>
      </c>
    </row>
    <row r="10" spans="2:21" ht="14.4">
      <c r="O10" s="18" t="s">
        <v>57</v>
      </c>
      <c r="P10" s="19" t="s">
        <v>58</v>
      </c>
    </row>
    <row r="11" spans="2:21" ht="21.75" customHeight="1">
      <c r="B11" s="291" t="s">
        <v>59</v>
      </c>
      <c r="C11" s="292"/>
      <c r="D11" s="293"/>
      <c r="E11" s="20"/>
      <c r="F11" s="294">
        <f>HLOOKUP($B$9,'SAISIE DES DONNEES SAMT'!$E$4:$AC$528,74,FALSE)</f>
        <v>0.24685579564562346</v>
      </c>
      <c r="G11" s="295"/>
      <c r="H11" s="296"/>
      <c r="I11" s="223"/>
      <c r="J11" s="294">
        <f>HLOOKUP($B$9,'SAISIE DES DONNEES SAMT'!$E$4:$AC$528,219,FALSE)</f>
        <v>0.22957588995042982</v>
      </c>
      <c r="K11" s="295"/>
      <c r="L11" s="296"/>
      <c r="M11" s="21"/>
      <c r="N11" s="21"/>
      <c r="O11" s="84">
        <f>IFERROR(F11/J11-1,"")</f>
        <v>7.5268817204301008E-2</v>
      </c>
      <c r="P11" s="85">
        <f>IFERROR(F11-J11,"")</f>
        <v>1.7279905695193637E-2</v>
      </c>
      <c r="Q11" s="21"/>
      <c r="R11" s="312">
        <f>HLOOKUP($B$9,'SAISIE DES DONNEES SAMT'!$E$4:$AC$528,290,FALSE)</f>
        <v>0.23</v>
      </c>
      <c r="S11" s="21"/>
    </row>
    <row r="12" spans="2:21" ht="15" customHeight="1">
      <c r="B12" s="22"/>
      <c r="C12" s="22"/>
      <c r="D12" s="22"/>
      <c r="E12" s="20"/>
      <c r="F12" s="22"/>
      <c r="G12" s="22"/>
      <c r="H12" s="22"/>
      <c r="I12" s="22"/>
      <c r="J12" s="22"/>
      <c r="K12" s="22"/>
      <c r="L12" s="22"/>
      <c r="M12" s="21"/>
      <c r="N12" s="21"/>
      <c r="O12" s="23"/>
      <c r="P12" s="23"/>
      <c r="Q12" s="21"/>
      <c r="R12" s="313"/>
      <c r="S12" s="21"/>
    </row>
    <row r="13" spans="2:21" ht="29.4" customHeight="1">
      <c r="B13" s="24">
        <f>F43</f>
        <v>5695884.2599999998</v>
      </c>
      <c r="C13" s="297" t="s">
        <v>60</v>
      </c>
      <c r="D13" s="297"/>
      <c r="F13" s="288">
        <f>HLOOKUP($B$9,'SAISIE DES DONNEES SAMT'!$E$4:$AC$528,70,FALSE)</f>
        <v>23566740</v>
      </c>
      <c r="G13" s="289"/>
      <c r="H13" s="290"/>
      <c r="I13" s="25"/>
      <c r="J13" s="288">
        <f>HLOOKUP($B$9,'SAISIE DES DONNEES SAMT'!$E$4:$AC$528,215,FALSE)</f>
        <v>22503078.756839998</v>
      </c>
      <c r="K13" s="289"/>
      <c r="L13" s="290"/>
      <c r="M13" s="26"/>
      <c r="N13" s="26"/>
      <c r="O13" s="84">
        <f>IFERROR(F13/J13-1,"")</f>
        <v>4.726736526381714E-2</v>
      </c>
      <c r="P13" s="86">
        <f>IFERROR(F13-J13,"")</f>
        <v>1063661.2431600019</v>
      </c>
      <c r="Q13" s="26"/>
      <c r="R13" s="26"/>
      <c r="S13" s="26"/>
    </row>
    <row r="14" spans="2:21" ht="32.25" customHeight="1">
      <c r="B14" s="22"/>
      <c r="C14" s="27">
        <f>HLOOKUP($B$9,'SAISIE DES DONNEES SAMT'!$E$4:$AC$44,35,FALSE)</f>
        <v>0</v>
      </c>
      <c r="D14" s="81" t="s">
        <v>61</v>
      </c>
      <c r="F14" s="288" t="str">
        <f>HLOOKUP($B$9,'SAISIE DES DONNEES SAMT'!$E$4:$AC$528,67,FALSE)</f>
        <v>B</v>
      </c>
      <c r="G14" s="289"/>
      <c r="H14" s="290"/>
      <c r="I14" s="28"/>
      <c r="J14" s="288" t="str">
        <f>HLOOKUP($B$9,'SAISIE DES DONNEES SAMT'!$E$4:$AC$528,212,FALSE)</f>
        <v>B</v>
      </c>
      <c r="K14" s="289"/>
      <c r="L14" s="290"/>
      <c r="M14" s="26"/>
      <c r="N14" s="26"/>
      <c r="O14" s="317" t="str">
        <f>IF(F14=0,"",IF(F14&lt;&gt;J14,"La nature de l'uo est différente par rapport à l'année précedente",""))</f>
        <v/>
      </c>
      <c r="P14" s="317"/>
      <c r="Q14" s="317"/>
      <c r="R14" s="317"/>
      <c r="S14" s="317"/>
    </row>
    <row r="15" spans="2:21" ht="32.25" customHeight="1">
      <c r="B15" s="22"/>
      <c r="C15" s="27"/>
      <c r="D15" s="81" t="s">
        <v>88</v>
      </c>
      <c r="F15" s="288" t="str">
        <f>HLOOKUP($B$9,'SAISIE DES DONNEES SAMT'!$E$4:$AC$528,2,FALSE)</f>
        <v>Non dédié</v>
      </c>
      <c r="G15" s="289"/>
      <c r="H15" s="290"/>
      <c r="I15" s="28"/>
      <c r="J15" s="288" t="str">
        <f>HLOOKUP($B$9,'SAISIE DES DONNEES SAMT'!$E$4:$AC$528,147,FALSE)</f>
        <v>Non dédié</v>
      </c>
      <c r="K15" s="289"/>
      <c r="L15" s="290"/>
      <c r="M15" s="26"/>
      <c r="N15" s="26"/>
      <c r="O15" s="317" t="str">
        <f>IF(F15&lt;&gt;J15,"Le mode de fonctionnement a évolué par rapport à l'année précédente","")</f>
        <v/>
      </c>
      <c r="P15" s="317"/>
      <c r="Q15" s="317"/>
      <c r="R15" s="317"/>
      <c r="S15" s="317"/>
    </row>
    <row r="16" spans="2:21" ht="48" customHeight="1">
      <c r="B16" s="22"/>
      <c r="C16" s="81"/>
      <c r="D16" s="81" t="s">
        <v>62</v>
      </c>
      <c r="F16" s="288" t="str">
        <f>HLOOKUP($B$9,'SAISIE DES DONNEES SAMT'!$E$4:$AC$528,3,FALSE)</f>
        <v>Interne</v>
      </c>
      <c r="G16" s="289"/>
      <c r="H16" s="290"/>
      <c r="I16" s="28"/>
      <c r="J16" s="288" t="str">
        <f>HLOOKUP($B$9,'SAISIE DES DONNEES SAMT'!$E$4:$AC$528,148,FALSE)</f>
        <v>Interne</v>
      </c>
      <c r="K16" s="289"/>
      <c r="L16" s="290"/>
      <c r="M16" s="26"/>
      <c r="N16" s="26"/>
      <c r="O16" s="317" t="str">
        <f>IF(F16&lt;&gt;J16,"Le mode de fonctionnement a évolué par rapport à l'année précédente","")</f>
        <v/>
      </c>
      <c r="P16" s="317"/>
      <c r="Q16" s="317"/>
      <c r="R16" s="317"/>
      <c r="S16" s="317"/>
    </row>
    <row r="17" spans="2:19" ht="19.2" customHeight="1">
      <c r="B17" s="315" t="str">
        <f>IF(C42=0,"La section d'analyse sélectionnée n'a pas été renseignée par l'établissement",IF(J14&lt;&gt;F14,"La nature d'UO est différente de celle demandée par le recueil RTC : la comparaison avec le référentiel ne sera pas possible",""))</f>
        <v/>
      </c>
      <c r="C17" s="315"/>
      <c r="D17" s="315"/>
      <c r="E17" s="315"/>
      <c r="F17" s="315"/>
      <c r="G17" s="315"/>
      <c r="H17" s="315"/>
      <c r="I17" s="315"/>
      <c r="J17" s="315"/>
      <c r="K17" s="315"/>
      <c r="L17" s="315"/>
      <c r="M17" s="315"/>
      <c r="N17" s="315"/>
      <c r="O17" s="315"/>
      <c r="P17" s="315"/>
      <c r="Q17" s="315"/>
      <c r="R17" s="315"/>
    </row>
    <row r="18" spans="2:19" ht="23.4">
      <c r="B18" s="298" t="s">
        <v>120</v>
      </c>
      <c r="C18" s="299"/>
      <c r="D18" s="299"/>
      <c r="E18" s="299"/>
      <c r="F18" s="299"/>
      <c r="G18" s="299"/>
      <c r="H18" s="299"/>
      <c r="I18" s="299"/>
      <c r="J18" s="299"/>
      <c r="K18" s="299"/>
      <c r="L18" s="299"/>
      <c r="M18" s="299"/>
      <c r="N18" s="299"/>
      <c r="O18" s="299"/>
      <c r="P18" s="299"/>
      <c r="Q18" s="299"/>
      <c r="R18" s="299"/>
      <c r="S18" s="29"/>
    </row>
    <row r="19" spans="2:19" ht="19.5" customHeight="1">
      <c r="F19" s="30" t="s">
        <v>63</v>
      </c>
      <c r="G19" s="31"/>
      <c r="H19" s="30" t="s">
        <v>64</v>
      </c>
      <c r="I19" s="30"/>
      <c r="J19" s="30" t="s">
        <v>63</v>
      </c>
      <c r="K19" s="31"/>
      <c r="L19" s="30" t="s">
        <v>64</v>
      </c>
      <c r="M19" s="26"/>
      <c r="N19" s="26"/>
      <c r="O19" s="316" t="s">
        <v>63</v>
      </c>
      <c r="P19" s="316"/>
      <c r="Q19" s="26"/>
      <c r="R19" s="26"/>
      <c r="S19" s="26"/>
    </row>
    <row r="20" spans="2:19" ht="14.4">
      <c r="C20" s="163" t="s">
        <v>152</v>
      </c>
      <c r="D20" s="33"/>
      <c r="F20" s="217">
        <f>HLOOKUP($B$9,'SAISIE DES DONNEES SAMT'!$E$4:$AC$528,5,FALSE)</f>
        <v>3936237.61</v>
      </c>
      <c r="G20" s="26"/>
      <c r="H20" s="35">
        <f>IFERROR(F20/$F$13,"")</f>
        <v>0.16702512142112147</v>
      </c>
      <c r="I20" s="168">
        <f>IFERROR(H20/$F$11,"")</f>
        <v>0.67661008721422211</v>
      </c>
      <c r="J20" s="217">
        <f>HLOOKUP($B$9,'SAISIE DES DONNEES SAMT'!$E$4:$AC$528,150,FALSE)</f>
        <v>3660700.9772999999</v>
      </c>
      <c r="K20" s="26"/>
      <c r="L20" s="35">
        <f>IFERROR(J20/$J$13,"")</f>
        <v>0.16267556172451733</v>
      </c>
      <c r="M20" s="168">
        <f>IFERROR(L20/$F$11,"")</f>
        <v>0.65899024691341668</v>
      </c>
      <c r="N20" s="37"/>
      <c r="O20" s="87">
        <f>IFERROR(F20/J20-1,"")</f>
        <v>7.5268817204301008E-2</v>
      </c>
      <c r="P20" s="88">
        <f>IFERROR(F20-J20,"")</f>
        <v>275536.63269999996</v>
      </c>
      <c r="Q20" s="37"/>
      <c r="R20" s="26"/>
      <c r="S20" s="37"/>
    </row>
    <row r="21" spans="2:19" ht="14.4" outlineLevel="1">
      <c r="C21" s="38"/>
      <c r="D21" s="215" t="s">
        <v>30</v>
      </c>
      <c r="E21" s="40"/>
      <c r="F21" s="34">
        <f>HLOOKUP($B$9,'SAISIE DES DONNEES SAMT'!$E$4:$AC$528,6,FALSE)</f>
        <v>1239787.25</v>
      </c>
      <c r="G21" s="41"/>
      <c r="H21" s="42">
        <f>IFERROR(F21/$F$13,"")</f>
        <v>5.260749895827764E-2</v>
      </c>
      <c r="I21" s="168">
        <f t="shared" ref="I21:I40" si="0">IFERROR(H21/$F$11,"")</f>
        <v>0.2131102444675794</v>
      </c>
      <c r="J21" s="34">
        <f>HLOOKUP($B$9,'SAISIE DES DONNEES SAMT'!$E$4:$AC$528,151,FALSE)</f>
        <v>1153002.1425000001</v>
      </c>
      <c r="K21" s="41"/>
      <c r="L21" s="35">
        <f t="shared" ref="L21:L40" si="1">IFERROR(J21/$J$13,"")</f>
        <v>5.1237528649253627E-2</v>
      </c>
      <c r="M21" s="168">
        <f t="shared" ref="M21:M40" si="2">IFERROR(L21/$F$11,"")</f>
        <v>0.2075605659378896</v>
      </c>
      <c r="N21" s="43"/>
      <c r="O21" s="87">
        <f t="shared" ref="O21:O40" si="3">IFERROR(F21/J21-1,"")</f>
        <v>7.5268817204301008E-2</v>
      </c>
      <c r="P21" s="88">
        <f t="shared" ref="P21:P40" si="4">IFERROR(F21-J21,"")</f>
        <v>86785.107499999925</v>
      </c>
      <c r="Q21" s="37"/>
      <c r="R21" s="26"/>
      <c r="S21" s="37"/>
    </row>
    <row r="22" spans="2:19" ht="14.4" outlineLevel="1">
      <c r="C22" s="38"/>
      <c r="D22" s="216" t="s">
        <v>31</v>
      </c>
      <c r="E22" s="40"/>
      <c r="F22" s="34">
        <f>HLOOKUP($B$9,'SAISIE DES DONNEES SAMT'!$E$4:$AC$528,7,FALSE)</f>
        <v>1574.88</v>
      </c>
      <c r="G22" s="41"/>
      <c r="H22" s="42">
        <f t="shared" ref="H22:H40" si="5">IFERROR(F22/$F$13,"")</f>
        <v>6.6826383284238725E-5</v>
      </c>
      <c r="I22" s="168">
        <f t="shared" si="0"/>
        <v>2.7071020597050136E-4</v>
      </c>
      <c r="J22" s="34">
        <f>HLOOKUP($B$9,'SAISIE DES DONNEES SAMT'!$E$4:$AC$528,152,FALSE)</f>
        <v>1464.6384000000003</v>
      </c>
      <c r="K22" s="41"/>
      <c r="L22" s="35">
        <f t="shared" si="1"/>
        <v>6.5086134027541066E-5</v>
      </c>
      <c r="M22" s="168">
        <f t="shared" si="2"/>
        <v>2.6366054666577963E-4</v>
      </c>
      <c r="N22" s="43"/>
      <c r="O22" s="87">
        <f t="shared" si="3"/>
        <v>7.5268817204301008E-2</v>
      </c>
      <c r="P22" s="88">
        <f t="shared" si="4"/>
        <v>110.24159999999983</v>
      </c>
      <c r="Q22" s="37"/>
      <c r="R22" s="26"/>
      <c r="S22" s="37"/>
    </row>
    <row r="23" spans="2:19" ht="22.8" outlineLevel="1">
      <c r="C23" s="38"/>
      <c r="D23" s="216" t="s">
        <v>130</v>
      </c>
      <c r="E23" s="40"/>
      <c r="F23" s="34">
        <f>HLOOKUP($B$9,'SAISIE DES DONNEES SAMT'!$E$4:$AC$528,8,FALSE)</f>
        <v>870059.51</v>
      </c>
      <c r="G23" s="41"/>
      <c r="H23" s="42">
        <f t="shared" si="5"/>
        <v>3.6918959092347943E-2</v>
      </c>
      <c r="I23" s="168">
        <f t="shared" si="0"/>
        <v>0.14955678474467482</v>
      </c>
      <c r="J23" s="34">
        <f>HLOOKUP($B$9,'SAISIE DES DONNEES SAMT'!$E$4:$AC$528,153,FALSE)</f>
        <v>800454.74920000008</v>
      </c>
      <c r="K23" s="41"/>
      <c r="L23" s="35">
        <f t="shared" si="1"/>
        <v>3.5570899335571816E-2</v>
      </c>
      <c r="M23" s="168">
        <f t="shared" si="2"/>
        <v>0.14409586472353281</v>
      </c>
      <c r="N23" s="43"/>
      <c r="O23" s="87">
        <f t="shared" si="3"/>
        <v>8.6956521739130377E-2</v>
      </c>
      <c r="P23" s="88">
        <f t="shared" si="4"/>
        <v>69604.760799999931</v>
      </c>
      <c r="Q23" s="37"/>
      <c r="R23" s="26"/>
      <c r="S23" s="37"/>
    </row>
    <row r="24" spans="2:19" ht="22.8" outlineLevel="1">
      <c r="C24" s="38"/>
      <c r="D24" s="216" t="s">
        <v>32</v>
      </c>
      <c r="E24" s="40"/>
      <c r="F24" s="34">
        <f>HLOOKUP($B$9,'SAISIE DES DONNEES SAMT'!$E$4:$AC$528,9,FALSE)</f>
        <v>168525.5</v>
      </c>
      <c r="G24" s="41"/>
      <c r="H24" s="42">
        <f t="shared" ref="H24" si="6">IFERROR(F24/$F$13,"")</f>
        <v>7.1509890634003682E-3</v>
      </c>
      <c r="I24" s="168">
        <f t="shared" si="0"/>
        <v>2.8968285086026696E-2</v>
      </c>
      <c r="J24" s="34">
        <f>HLOOKUP($B$9,'SAISIE DES DONNEES SAMT'!$E$4:$AC$528,154,FALSE)</f>
        <v>161784.47999999998</v>
      </c>
      <c r="K24" s="41"/>
      <c r="L24" s="35">
        <f t="shared" si="1"/>
        <v>7.1894375764393684E-3</v>
      </c>
      <c r="M24" s="168">
        <f t="shared" si="2"/>
        <v>2.9124038014324137E-2</v>
      </c>
      <c r="N24" s="43"/>
      <c r="O24" s="87">
        <f t="shared" si="3"/>
        <v>4.1666666666666741E-2</v>
      </c>
      <c r="P24" s="88">
        <f t="shared" si="4"/>
        <v>6741.0200000000186</v>
      </c>
      <c r="Q24" s="37"/>
      <c r="R24" s="26"/>
      <c r="S24" s="37"/>
    </row>
    <row r="25" spans="2:19" ht="22.8" outlineLevel="1">
      <c r="C25" s="44"/>
      <c r="D25" s="216" t="s">
        <v>131</v>
      </c>
      <c r="E25" s="40"/>
      <c r="F25" s="34">
        <f>HLOOKUP($B$9,'SAISIE DES DONNEES SAMT'!$E$4:$AC$528,10,FALSE)</f>
        <v>199627.36</v>
      </c>
      <c r="G25" s="41"/>
      <c r="H25" s="42">
        <f>IFERROR(F25/$F$13,"")</f>
        <v>8.4707244192450872E-3</v>
      </c>
      <c r="I25" s="168">
        <f t="shared" si="0"/>
        <v>3.4314464430907382E-2</v>
      </c>
      <c r="J25" s="34">
        <f>HLOOKUP($B$9,'SAISIE DES DONNEES SAMT'!$E$4:$AC$528,155,FALSE)</f>
        <v>189645.99199999997</v>
      </c>
      <c r="K25" s="41"/>
      <c r="L25" s="35">
        <f t="shared" si="1"/>
        <v>8.4275575821977471E-3</v>
      </c>
      <c r="M25" s="168">
        <f t="shared" si="2"/>
        <v>3.4139597817245577E-2</v>
      </c>
      <c r="N25" s="43"/>
      <c r="O25" s="87">
        <f t="shared" si="3"/>
        <v>5.2631578947368585E-2</v>
      </c>
      <c r="P25" s="88">
        <f t="shared" si="4"/>
        <v>9981.3680000000168</v>
      </c>
      <c r="Q25" s="37"/>
      <c r="R25" s="26"/>
      <c r="S25" s="37"/>
    </row>
    <row r="26" spans="2:19" ht="14.4" outlineLevel="1">
      <c r="C26" s="38"/>
      <c r="D26" s="215" t="s">
        <v>132</v>
      </c>
      <c r="E26" s="40"/>
      <c r="F26" s="34">
        <f>HLOOKUP($B$9,'SAISIE DES DONNEES SAMT'!$E$4:$AC$528,11,FALSE)</f>
        <v>0</v>
      </c>
      <c r="G26" s="41"/>
      <c r="H26" s="42">
        <f t="shared" si="5"/>
        <v>0</v>
      </c>
      <c r="I26" s="168">
        <f t="shared" si="0"/>
        <v>0</v>
      </c>
      <c r="J26" s="34">
        <f>HLOOKUP($B$9,'SAISIE DES DONNEES SAMT'!$E$4:$AC$528,156,FALSE)</f>
        <v>0</v>
      </c>
      <c r="K26" s="41"/>
      <c r="L26" s="35">
        <f t="shared" si="1"/>
        <v>0</v>
      </c>
      <c r="M26" s="168">
        <f t="shared" si="2"/>
        <v>0</v>
      </c>
      <c r="N26" s="43"/>
      <c r="O26" s="87" t="str">
        <f t="shared" si="3"/>
        <v/>
      </c>
      <c r="P26" s="88">
        <f t="shared" si="4"/>
        <v>0</v>
      </c>
      <c r="Q26" s="37"/>
      <c r="R26" s="26"/>
      <c r="S26" s="37"/>
    </row>
    <row r="27" spans="2:19" ht="14.4" outlineLevel="1">
      <c r="C27" s="38"/>
      <c r="D27" s="216" t="s">
        <v>133</v>
      </c>
      <c r="E27" s="40"/>
      <c r="F27" s="34">
        <f>HLOOKUP($B$9,'SAISIE DES DONNEES SAMT'!$E$4:$AC$528,12,FALSE)</f>
        <v>0</v>
      </c>
      <c r="G27" s="41"/>
      <c r="H27" s="42">
        <f t="shared" si="5"/>
        <v>0</v>
      </c>
      <c r="I27" s="168">
        <f t="shared" si="0"/>
        <v>0</v>
      </c>
      <c r="J27" s="34">
        <f>HLOOKUP($B$9,'SAISIE DES DONNEES SAMT'!$E$4:$AC$528,157,FALSE)</f>
        <v>0</v>
      </c>
      <c r="K27" s="41"/>
      <c r="L27" s="35">
        <f t="shared" si="1"/>
        <v>0</v>
      </c>
      <c r="M27" s="168">
        <f t="shared" si="2"/>
        <v>0</v>
      </c>
      <c r="N27" s="43"/>
      <c r="O27" s="87" t="str">
        <f t="shared" si="3"/>
        <v/>
      </c>
      <c r="P27" s="88">
        <f t="shared" si="4"/>
        <v>0</v>
      </c>
      <c r="Q27" s="37"/>
      <c r="R27" s="26"/>
      <c r="S27" s="37"/>
    </row>
    <row r="28" spans="2:19" ht="22.8" outlineLevel="1">
      <c r="C28" s="38"/>
      <c r="D28" s="216" t="s">
        <v>134</v>
      </c>
      <c r="E28" s="40"/>
      <c r="F28" s="34">
        <f>HLOOKUP($B$9,'SAISIE DES DONNEES SAMT'!$E$4:$AC$528,13,FALSE)</f>
        <v>0</v>
      </c>
      <c r="G28" s="41"/>
      <c r="H28" s="42">
        <f t="shared" si="5"/>
        <v>0</v>
      </c>
      <c r="I28" s="168">
        <f t="shared" si="0"/>
        <v>0</v>
      </c>
      <c r="J28" s="34">
        <f>HLOOKUP($B$9,'SAISIE DES DONNEES SAMT'!$E$4:$AC$528,158,FALSE)</f>
        <v>0</v>
      </c>
      <c r="K28" s="41"/>
      <c r="L28" s="35">
        <f t="shared" si="1"/>
        <v>0</v>
      </c>
      <c r="M28" s="168">
        <f t="shared" si="2"/>
        <v>0</v>
      </c>
      <c r="N28" s="43"/>
      <c r="O28" s="87" t="str">
        <f t="shared" si="3"/>
        <v/>
      </c>
      <c r="P28" s="88">
        <f t="shared" si="4"/>
        <v>0</v>
      </c>
      <c r="Q28" s="37"/>
      <c r="R28" s="26"/>
      <c r="S28" s="37"/>
    </row>
    <row r="29" spans="2:19" ht="14.4" outlineLevel="1">
      <c r="C29" s="38"/>
      <c r="D29" s="215" t="s">
        <v>33</v>
      </c>
      <c r="E29" s="40"/>
      <c r="F29" s="34">
        <f>HLOOKUP($B$9,'SAISIE DES DONNEES SAMT'!$E$4:$AC$528,14,FALSE)</f>
        <v>2696450.36</v>
      </c>
      <c r="G29" s="41"/>
      <c r="H29" s="42">
        <f t="shared" si="5"/>
        <v>0.11441762246284382</v>
      </c>
      <c r="I29" s="168">
        <f t="shared" si="0"/>
        <v>0.46349984274664258</v>
      </c>
      <c r="J29" s="34">
        <f>HLOOKUP($B$9,'SAISIE DES DONNEES SAMT'!$E$4:$AC$528,159,FALSE)</f>
        <v>2507698.8347999998</v>
      </c>
      <c r="K29" s="41"/>
      <c r="L29" s="35">
        <f t="shared" si="1"/>
        <v>0.1114380330752637</v>
      </c>
      <c r="M29" s="168">
        <f t="shared" si="2"/>
        <v>0.45142968097552705</v>
      </c>
      <c r="N29" s="43"/>
      <c r="O29" s="87">
        <f t="shared" si="3"/>
        <v>7.5268817204301008E-2</v>
      </c>
      <c r="P29" s="88">
        <f t="shared" si="4"/>
        <v>188751.52520000003</v>
      </c>
      <c r="Q29" s="37"/>
      <c r="R29" s="26"/>
      <c r="S29" s="37"/>
    </row>
    <row r="30" spans="2:19" ht="14.4" outlineLevel="1">
      <c r="C30" s="38"/>
      <c r="D30" s="216" t="s">
        <v>34</v>
      </c>
      <c r="E30" s="40"/>
      <c r="F30" s="34">
        <f>HLOOKUP($B$9,'SAISIE DES DONNEES SAMT'!$E$4:$AC$528,15,FALSE)</f>
        <v>4609.7299999999996</v>
      </c>
      <c r="G30" s="41"/>
      <c r="H30" s="42">
        <f t="shared" si="5"/>
        <v>1.9560321028704012E-4</v>
      </c>
      <c r="I30" s="168">
        <f t="shared" si="0"/>
        <v>7.9237844011505589E-4</v>
      </c>
      <c r="J30" s="34">
        <f>HLOOKUP($B$9,'SAISIE DES DONNEES SAMT'!$E$4:$AC$528,160,FALSE)</f>
        <v>4333.1461999999992</v>
      </c>
      <c r="K30" s="41"/>
      <c r="L30" s="35">
        <f t="shared" si="1"/>
        <v>1.9255792715398569E-4</v>
      </c>
      <c r="M30" s="168">
        <f t="shared" si="2"/>
        <v>7.8004215639487892E-4</v>
      </c>
      <c r="N30" s="43"/>
      <c r="O30" s="87">
        <f t="shared" si="3"/>
        <v>6.3829787234042534E-2</v>
      </c>
      <c r="P30" s="88">
        <f t="shared" si="4"/>
        <v>276.58380000000034</v>
      </c>
      <c r="Q30" s="37"/>
      <c r="R30" s="26"/>
      <c r="S30" s="37"/>
    </row>
    <row r="31" spans="2:19" ht="14.4" outlineLevel="1">
      <c r="C31" s="38"/>
      <c r="D31" s="216" t="s">
        <v>35</v>
      </c>
      <c r="E31" s="40"/>
      <c r="F31" s="34">
        <f>HLOOKUP($B$9,'SAISIE DES DONNEES SAMT'!$E$4:$AC$528,16,FALSE)</f>
        <v>736102.55</v>
      </c>
      <c r="G31" s="41"/>
      <c r="H31" s="42">
        <f>IFERROR(F31/$F$13,"")</f>
        <v>3.1234805917152737E-2</v>
      </c>
      <c r="I31" s="168">
        <f t="shared" si="0"/>
        <v>0.12653057561586362</v>
      </c>
      <c r="J31" s="34">
        <f>HLOOKUP($B$9,'SAISIE DES DONNEES SAMT'!$E$4:$AC$528,161,FALSE)</f>
        <v>699297.42249999999</v>
      </c>
      <c r="K31" s="41"/>
      <c r="L31" s="35">
        <f t="shared" si="1"/>
        <v>3.1075633252514067E-2</v>
      </c>
      <c r="M31" s="168">
        <f t="shared" si="2"/>
        <v>0.12588577542301269</v>
      </c>
      <c r="N31" s="43"/>
      <c r="O31" s="87">
        <f t="shared" si="3"/>
        <v>5.2631578947368585E-2</v>
      </c>
      <c r="P31" s="88">
        <f t="shared" si="4"/>
        <v>36805.127500000061</v>
      </c>
      <c r="Q31" s="37"/>
      <c r="R31" s="26"/>
      <c r="S31" s="37"/>
    </row>
    <row r="32" spans="2:19" ht="14.4" outlineLevel="1">
      <c r="C32" s="38"/>
      <c r="D32" s="216" t="s">
        <v>36</v>
      </c>
      <c r="E32" s="40"/>
      <c r="F32" s="34">
        <f>HLOOKUP($B$9,'SAISIE DES DONNEES SAMT'!$E$4:$AC$528,17,FALSE)</f>
        <v>13711.24</v>
      </c>
      <c r="G32" s="41"/>
      <c r="H32" s="42">
        <f t="shared" si="5"/>
        <v>5.8180469594012573E-4</v>
      </c>
      <c r="I32" s="168">
        <f t="shared" si="0"/>
        <v>2.3568605890677235E-3</v>
      </c>
      <c r="J32" s="34">
        <f>HLOOKUP($B$9,'SAISIE DES DONNEES SAMT'!$E$4:$AC$528,162,FALSE)</f>
        <v>12614.3408</v>
      </c>
      <c r="K32" s="41"/>
      <c r="L32" s="35">
        <f t="shared" si="1"/>
        <v>5.6056066533410529E-4</v>
      </c>
      <c r="M32" s="168">
        <f t="shared" si="2"/>
        <v>2.2708021250545168E-3</v>
      </c>
      <c r="N32" s="43"/>
      <c r="O32" s="87">
        <f t="shared" si="3"/>
        <v>8.6956521739130377E-2</v>
      </c>
      <c r="P32" s="88">
        <f t="shared" si="4"/>
        <v>1096.8991999999998</v>
      </c>
      <c r="Q32" s="37"/>
      <c r="S32" s="37"/>
    </row>
    <row r="33" spans="3:19" ht="14.4" outlineLevel="1">
      <c r="C33" s="38"/>
      <c r="D33" s="216" t="s">
        <v>37</v>
      </c>
      <c r="E33" s="40"/>
      <c r="F33" s="34">
        <f>HLOOKUP($B$9,'SAISIE DES DONNEES SAMT'!$E$4:$AC$528,18,FALSE)</f>
        <v>1942026.84</v>
      </c>
      <c r="G33" s="41"/>
      <c r="H33" s="42">
        <f t="shared" si="5"/>
        <v>8.2405408639463926E-2</v>
      </c>
      <c r="I33" s="168">
        <f t="shared" si="0"/>
        <v>0.33382002810159628</v>
      </c>
      <c r="J33" s="34">
        <f>HLOOKUP($B$9,'SAISIE DES DONNEES SAMT'!$E$4:$AC$528,163,FALSE)</f>
        <v>1786664.6928000001</v>
      </c>
      <c r="K33" s="41"/>
      <c r="L33" s="35">
        <f t="shared" si="1"/>
        <v>7.9396455574192421E-2</v>
      </c>
      <c r="M33" s="168">
        <f t="shared" si="2"/>
        <v>0.32163091559807194</v>
      </c>
      <c r="N33" s="43"/>
      <c r="O33" s="87">
        <f t="shared" si="3"/>
        <v>8.6956521739130377E-2</v>
      </c>
      <c r="P33" s="88">
        <f t="shared" si="4"/>
        <v>155362.14720000001</v>
      </c>
      <c r="Q33" s="37"/>
      <c r="S33" s="37"/>
    </row>
    <row r="34" spans="3:19" ht="14.4" outlineLevel="1">
      <c r="C34" s="38"/>
      <c r="D34" s="215" t="s">
        <v>135</v>
      </c>
      <c r="E34" s="40"/>
      <c r="F34" s="34">
        <f>HLOOKUP($B$9,'SAISIE DES DONNEES SAMT'!$E$4:$AC$528,19,FALSE)</f>
        <v>0</v>
      </c>
      <c r="G34" s="41"/>
      <c r="H34" s="42">
        <f t="shared" si="5"/>
        <v>0</v>
      </c>
      <c r="I34" s="168">
        <f t="shared" si="0"/>
        <v>0</v>
      </c>
      <c r="J34" s="34">
        <f>HLOOKUP($B$9,'SAISIE DES DONNEES SAMT'!$E$4:$AC$528,164,FALSE)</f>
        <v>0</v>
      </c>
      <c r="K34" s="41"/>
      <c r="L34" s="35">
        <f t="shared" si="1"/>
        <v>0</v>
      </c>
      <c r="M34" s="168">
        <f t="shared" si="2"/>
        <v>0</v>
      </c>
      <c r="N34" s="43"/>
      <c r="O34" s="87" t="str">
        <f t="shared" si="3"/>
        <v/>
      </c>
      <c r="P34" s="88">
        <f t="shared" si="4"/>
        <v>0</v>
      </c>
      <c r="Q34" s="37"/>
      <c r="S34" s="37"/>
    </row>
    <row r="35" spans="3:19" ht="14.4" outlineLevel="1">
      <c r="C35" s="38"/>
      <c r="D35" s="216" t="s">
        <v>243</v>
      </c>
      <c r="E35" s="40"/>
      <c r="F35" s="34">
        <f>HLOOKUP($B$9,'SAISIE DES DONNEES SAMT'!$E$4:$AC$528,20,FALSE)</f>
        <v>0</v>
      </c>
      <c r="G35" s="41"/>
      <c r="H35" s="42">
        <f t="shared" si="5"/>
        <v>0</v>
      </c>
      <c r="I35" s="168">
        <f t="shared" si="0"/>
        <v>0</v>
      </c>
      <c r="J35" s="34">
        <f>HLOOKUP($B$9,'SAISIE DES DONNEES SAMT'!$E$4:$AC$528,165,FALSE)</f>
        <v>0</v>
      </c>
      <c r="K35" s="41"/>
      <c r="L35" s="35">
        <f t="shared" si="1"/>
        <v>0</v>
      </c>
      <c r="M35" s="168">
        <f t="shared" si="2"/>
        <v>0</v>
      </c>
      <c r="N35" s="43"/>
      <c r="O35" s="87" t="str">
        <f t="shared" si="3"/>
        <v/>
      </c>
      <c r="P35" s="88">
        <f t="shared" si="4"/>
        <v>0</v>
      </c>
      <c r="Q35" s="37"/>
      <c r="S35" s="37"/>
    </row>
    <row r="36" spans="3:19" ht="22.8" outlineLevel="1">
      <c r="C36" s="38"/>
      <c r="D36" s="216" t="s">
        <v>136</v>
      </c>
      <c r="E36" s="40"/>
      <c r="F36" s="34">
        <f>HLOOKUP($B$9,'SAISIE DES DONNEES SAMT'!$E$4:$AC$528,21,FALSE)</f>
        <v>0</v>
      </c>
      <c r="G36" s="41"/>
      <c r="H36" s="42">
        <f t="shared" si="5"/>
        <v>0</v>
      </c>
      <c r="I36" s="168">
        <f t="shared" si="0"/>
        <v>0</v>
      </c>
      <c r="J36" s="34">
        <f>HLOOKUP($B$9,'SAISIE DES DONNEES SAMT'!$E$4:$AC$528,166,FALSE)</f>
        <v>0</v>
      </c>
      <c r="K36" s="41"/>
      <c r="L36" s="35">
        <f t="shared" si="1"/>
        <v>0</v>
      </c>
      <c r="M36" s="168">
        <f t="shared" si="2"/>
        <v>0</v>
      </c>
      <c r="N36" s="43"/>
      <c r="O36" s="87" t="str">
        <f t="shared" si="3"/>
        <v/>
      </c>
      <c r="P36" s="88">
        <f t="shared" si="4"/>
        <v>0</v>
      </c>
      <c r="Q36" s="37"/>
      <c r="S36" s="37"/>
    </row>
    <row r="37" spans="3:19" ht="14.4">
      <c r="C37" s="164" t="s">
        <v>65</v>
      </c>
      <c r="D37" s="46"/>
      <c r="F37" s="217">
        <f>HLOOKUP($B$9,'SAISIE DES DONNEES SAMT'!$E$4:$AC$528,22,FALSE)</f>
        <v>1248292.3500000001</v>
      </c>
      <c r="G37" s="26"/>
      <c r="H37" s="47">
        <f t="shared" si="5"/>
        <v>5.2968393167659174E-2</v>
      </c>
      <c r="I37" s="168">
        <f t="shared" si="0"/>
        <v>0.21457220815547928</v>
      </c>
      <c r="J37" s="34">
        <f>HLOOKUP($B$9,'SAISIE DES DONNEES SAMT'!$E$4:$AC$528,167,FALSE)</f>
        <v>1160911.8855000001</v>
      </c>
      <c r="K37" s="26"/>
      <c r="L37" s="35">
        <f t="shared" si="1"/>
        <v>5.1589024686105732E-2</v>
      </c>
      <c r="M37" s="168">
        <f t="shared" si="2"/>
        <v>0.20898445811726019</v>
      </c>
      <c r="N37" s="37"/>
      <c r="O37" s="87">
        <f t="shared" si="3"/>
        <v>7.5268817204301008E-2</v>
      </c>
      <c r="P37" s="88">
        <f t="shared" si="4"/>
        <v>87380.464500000002</v>
      </c>
      <c r="Q37" s="37"/>
      <c r="S37" s="37"/>
    </row>
    <row r="38" spans="3:19" ht="14.4">
      <c r="C38" s="164" t="s">
        <v>66</v>
      </c>
      <c r="D38" s="39"/>
      <c r="F38" s="217">
        <f>HLOOKUP($B$9,'SAISIE DES DONNEES SAMT'!$E$4:$AC$528,23,FALSE)</f>
        <v>118803.03</v>
      </c>
      <c r="G38" s="26"/>
      <c r="H38" s="47">
        <f t="shared" si="5"/>
        <v>5.0411312722930708E-3</v>
      </c>
      <c r="I38" s="168">
        <f t="shared" si="0"/>
        <v>2.042136081556668E-2</v>
      </c>
      <c r="J38" s="34">
        <f>HLOOKUP($B$9,'SAISIE DES DONNEES SAMT'!$E$4:$AC$528,168,FALSE)</f>
        <v>115238.93909999999</v>
      </c>
      <c r="K38" s="26"/>
      <c r="L38" s="35">
        <f t="shared" si="1"/>
        <v>5.121029897518896E-3</v>
      </c>
      <c r="M38" s="168">
        <f t="shared" si="2"/>
        <v>2.0745025994327662E-2</v>
      </c>
      <c r="N38" s="37"/>
      <c r="O38" s="87">
        <f t="shared" si="3"/>
        <v>3.0927835051546504E-2</v>
      </c>
      <c r="P38" s="88">
        <f t="shared" si="4"/>
        <v>3564.0909000000102</v>
      </c>
      <c r="Q38" s="37"/>
      <c r="S38" s="37"/>
    </row>
    <row r="39" spans="3:19" ht="14.4">
      <c r="C39" s="165" t="s">
        <v>67</v>
      </c>
      <c r="D39" s="39"/>
      <c r="F39" s="217">
        <f>HLOOKUP($B$9,'SAISIE DES DONNEES SAMT'!$E$4:$AC$528,24,FALSE)</f>
        <v>446998.84</v>
      </c>
      <c r="G39" s="26"/>
      <c r="H39" s="47">
        <f t="shared" si="5"/>
        <v>1.8967359931836139E-2</v>
      </c>
      <c r="I39" s="168">
        <f t="shared" si="0"/>
        <v>7.683578942203545E-2</v>
      </c>
      <c r="J39" s="34">
        <f>HLOOKUP($B$9,'SAISIE DES DONNEES SAMT'!$E$4:$AC$528,169,FALSE)</f>
        <v>415708.92120000004</v>
      </c>
      <c r="K39" s="26"/>
      <c r="L39" s="35">
        <f t="shared" si="1"/>
        <v>1.8473424267496812E-2</v>
      </c>
      <c r="M39" s="168">
        <f t="shared" si="2"/>
        <v>7.4834881713761903E-2</v>
      </c>
      <c r="N39" s="37"/>
      <c r="O39" s="87">
        <f t="shared" si="3"/>
        <v>7.5268817204301008E-2</v>
      </c>
      <c r="P39" s="88">
        <f t="shared" si="4"/>
        <v>31289.918799999985</v>
      </c>
      <c r="Q39" s="37"/>
      <c r="S39" s="37"/>
    </row>
    <row r="40" spans="3:19" ht="14.4">
      <c r="C40" s="48"/>
      <c r="D40" s="49" t="s">
        <v>68</v>
      </c>
      <c r="E40" s="40"/>
      <c r="F40" s="160">
        <f>HLOOKUP($B$9,'SAISIE DES DONNEES SAMT'!$E$4:$AC$528,37,FALSE)</f>
        <v>54447.57</v>
      </c>
      <c r="G40" s="41"/>
      <c r="H40" s="47">
        <f t="shared" si="5"/>
        <v>2.3103564599940424E-3</v>
      </c>
      <c r="I40" s="168">
        <f t="shared" si="0"/>
        <v>9.3591339589640422E-3</v>
      </c>
      <c r="J40" s="34">
        <f>HLOOKUP($B$9,'SAISIE DES DONNEES SAMT'!$E$4:$AC$528,182,FALSE)</f>
        <v>52814.142899999999</v>
      </c>
      <c r="K40" s="41"/>
      <c r="L40" s="35">
        <f t="shared" si="1"/>
        <v>2.3469740949978546E-3</v>
      </c>
      <c r="M40" s="168">
        <f t="shared" si="2"/>
        <v>9.50747009548473E-3</v>
      </c>
      <c r="N40" s="43"/>
      <c r="O40" s="87">
        <f t="shared" si="3"/>
        <v>3.0927835051546504E-2</v>
      </c>
      <c r="P40" s="88">
        <f t="shared" si="4"/>
        <v>1633.4271000000008</v>
      </c>
      <c r="Q40" s="37"/>
      <c r="S40" s="37"/>
    </row>
    <row r="41" spans="3:19" ht="4.5" customHeight="1">
      <c r="C41" s="50"/>
      <c r="D41" s="51"/>
      <c r="F41" s="52"/>
      <c r="G41" s="26"/>
      <c r="H41" s="53"/>
      <c r="I41" s="168"/>
      <c r="J41" s="52"/>
      <c r="K41" s="26"/>
      <c r="L41" s="53"/>
      <c r="M41" s="168"/>
      <c r="N41" s="26"/>
      <c r="O41" s="14"/>
      <c r="P41" s="54"/>
      <c r="Q41" s="26"/>
      <c r="S41" s="26"/>
    </row>
    <row r="42" spans="3:19" ht="14.4">
      <c r="C42" s="55">
        <f>HLOOKUP($B$9,'SAISIE DES DONNEES SAMT'!$E$4:$AC$44,24,FALSE)</f>
        <v>446998.84</v>
      </c>
      <c r="D42" s="57" t="s">
        <v>69</v>
      </c>
      <c r="F42" s="56">
        <f>IFERROR(SUM(F20,F37,F38,F39),"")</f>
        <v>5750331.8300000001</v>
      </c>
      <c r="G42" s="31"/>
      <c r="H42" s="224">
        <f>IFERROR(F42/$F$13,"")</f>
        <v>0.24400200579290984</v>
      </c>
      <c r="I42" s="169"/>
      <c r="J42" s="56">
        <f>IFERROR(SUM(J20,J37,J38,J39),"")</f>
        <v>5352560.7231000001</v>
      </c>
      <c r="K42" s="31"/>
      <c r="L42" s="224">
        <f>IFERROR(J42/$J$13,"")</f>
        <v>0.23785904057563878</v>
      </c>
      <c r="M42" s="169"/>
      <c r="O42" s="84">
        <f>IFERROR(F42/J42-1,"")</f>
        <v>7.431416988570394E-2</v>
      </c>
      <c r="P42" s="92">
        <f t="shared" ref="P42" si="7">IFERROR(F42-J42,"")</f>
        <v>397771.10690000001</v>
      </c>
    </row>
    <row r="43" spans="3:19" ht="14.4">
      <c r="C43" s="20"/>
      <c r="D43" s="57" t="s">
        <v>70</v>
      </c>
      <c r="E43" s="58"/>
      <c r="F43" s="59">
        <f>IFERROR(SUM(F42,-F40),"")</f>
        <v>5695884.2599999998</v>
      </c>
      <c r="G43" s="60"/>
      <c r="H43" s="61">
        <f>IFERROR(F43/$F$13,"")</f>
        <v>0.24169164933291579</v>
      </c>
      <c r="I43" s="36"/>
      <c r="J43" s="59">
        <f>IFERROR(SUM(J42,-J40),"")</f>
        <v>5299746.5801999997</v>
      </c>
      <c r="K43" s="60"/>
      <c r="L43" s="61">
        <f>IFERROR(J43/$J$13,"")</f>
        <v>0.23551206648064091</v>
      </c>
      <c r="M43" s="58"/>
      <c r="N43" s="58"/>
      <c r="O43" s="62">
        <f>IFERROR(F43/J43-1,"")</f>
        <v>7.4746532462510729E-2</v>
      </c>
      <c r="P43" s="63">
        <f t="shared" ref="P43:P44" si="8">IFERROR(F43-J43,"")</f>
        <v>396137.67980000004</v>
      </c>
    </row>
    <row r="44" spans="3:19" ht="14.4">
      <c r="C44" s="20"/>
      <c r="D44" s="64" t="s">
        <v>42</v>
      </c>
      <c r="E44" s="65"/>
      <c r="F44" s="158">
        <f>HLOOKUP($B$9,'SAISIE DES DONNEES SAMT'!$E$4:$AC$524,39,FALSE)</f>
        <v>0</v>
      </c>
      <c r="G44" s="159"/>
      <c r="H44" s="65"/>
      <c r="I44" s="65"/>
      <c r="J44" s="158">
        <f>HLOOKUP($B$9,'SAISIE DES DONNEES SAMT'!$E$4:$AC$524,165,FALSE)</f>
        <v>0</v>
      </c>
      <c r="K44" s="65"/>
      <c r="L44" s="65"/>
      <c r="M44" s="65"/>
      <c r="N44" s="65"/>
      <c r="O44" s="62" t="str">
        <f>IFERROR(F44/J44-1,"")</f>
        <v/>
      </c>
      <c r="P44" s="63">
        <f t="shared" si="8"/>
        <v>0</v>
      </c>
    </row>
    <row r="45" spans="3:19" ht="15.6">
      <c r="C45" s="20"/>
      <c r="D45" s="66"/>
    </row>
    <row r="46" spans="3:19" ht="15.6">
      <c r="C46" s="166" t="s">
        <v>235</v>
      </c>
      <c r="D46" s="66"/>
      <c r="E46" s="170"/>
      <c r="F46" s="30" t="s">
        <v>63</v>
      </c>
      <c r="G46" s="31"/>
      <c r="H46" s="30" t="s">
        <v>64</v>
      </c>
      <c r="I46" s="30"/>
      <c r="J46" s="30" t="s">
        <v>63</v>
      </c>
      <c r="K46" s="31"/>
      <c r="L46" s="30" t="s">
        <v>64</v>
      </c>
      <c r="M46" s="31"/>
      <c r="N46" s="31"/>
      <c r="O46" s="314" t="s">
        <v>63</v>
      </c>
      <c r="P46" s="314"/>
    </row>
    <row r="47" spans="3:19" ht="14.4">
      <c r="C47" s="178" t="s">
        <v>212</v>
      </c>
      <c r="D47" s="179" t="s">
        <v>213</v>
      </c>
      <c r="F47" s="34">
        <f>HLOOKUP($B$9,'SAISIE DES DONNEES SAMT'!$E$4:$AC$528,111,FALSE)</f>
        <v>117676.43</v>
      </c>
      <c r="G47" s="34"/>
      <c r="H47" s="35">
        <f>IFERROR(F47/$F$13,"")</f>
        <v>4.9933266119963982E-3</v>
      </c>
      <c r="J47" s="161">
        <f>HLOOKUP($B$9,'SAISIE DES DONNEES SAMT'!$E$4:$AC$528,256,FALSE)</f>
        <v>114146.13709999999</v>
      </c>
      <c r="L47" s="35">
        <f>IFERROR(J47/$J$13,"")</f>
        <v>5.0724675647017556E-3</v>
      </c>
      <c r="O47" s="87">
        <f>IFERROR(F47/J47-1,"")</f>
        <v>3.0927835051546504E-2</v>
      </c>
      <c r="P47" s="88">
        <f>IFERROR(F47-J47,"")</f>
        <v>3530.2929000000004</v>
      </c>
    </row>
    <row r="48" spans="3:19" ht="22.8">
      <c r="C48" s="178" t="s">
        <v>214</v>
      </c>
      <c r="D48" s="179" t="s">
        <v>215</v>
      </c>
      <c r="F48" s="34">
        <f>HLOOKUP($B$9,'SAISIE DES DONNEES SAMT'!$E$4:$AC$528,112,FALSE)</f>
        <v>894566.59</v>
      </c>
      <c r="G48" s="34"/>
      <c r="H48" s="35">
        <f t="shared" ref="H48:H57" si="9">IFERROR(F48/$F$13,"")</f>
        <v>3.7958860241170393E-2</v>
      </c>
      <c r="J48" s="161">
        <f>HLOOKUP($B$9,'SAISIE DES DONNEES SAMT'!$E$4:$AC$528,257,FALSE)</f>
        <v>858783.92639999988</v>
      </c>
      <c r="L48" s="35">
        <f t="shared" ref="L48:L57" si="10">IFERROR(J48/$J$13,"")</f>
        <v>3.8162952531060459E-2</v>
      </c>
      <c r="O48" s="87">
        <f t="shared" ref="O48:O51" si="11">IFERROR(F48/J48-1,"")</f>
        <v>4.1666666666666741E-2</v>
      </c>
      <c r="P48" s="88">
        <f t="shared" ref="P48:P62" si="12">IFERROR(F48-J48,"")</f>
        <v>35782.663600000087</v>
      </c>
    </row>
    <row r="49" spans="3:16" ht="14.4">
      <c r="C49" s="178" t="s">
        <v>220</v>
      </c>
      <c r="D49" s="179" t="s">
        <v>221</v>
      </c>
      <c r="F49" s="34">
        <f>HLOOKUP($B$9,'SAISIE DES DONNEES SAMT'!$E$4:$AC$528,113,FALSE)</f>
        <v>199627.36</v>
      </c>
      <c r="G49" s="34"/>
      <c r="H49" s="35">
        <f t="shared" si="9"/>
        <v>8.4707244192450872E-3</v>
      </c>
      <c r="J49" s="161">
        <f>HLOOKUP($B$9,'SAISIE DES DONNEES SAMT'!$E$4:$AC$528,258,FALSE)</f>
        <v>183657.17119999998</v>
      </c>
      <c r="L49" s="35">
        <f t="shared" si="10"/>
        <v>8.1614241848651861E-3</v>
      </c>
      <c r="O49" s="87">
        <f t="shared" si="11"/>
        <v>8.6956521739130377E-2</v>
      </c>
      <c r="P49" s="88">
        <f t="shared" si="12"/>
        <v>15970.188800000004</v>
      </c>
    </row>
    <row r="50" spans="3:16" ht="22.8">
      <c r="C50" s="178" t="s">
        <v>216</v>
      </c>
      <c r="D50" s="179" t="s">
        <v>217</v>
      </c>
      <c r="F50" s="34">
        <f>HLOOKUP($B$9,'SAISIE DES DONNEES SAMT'!$E$4:$AC$528,114,FALSE)</f>
        <v>168525.5</v>
      </c>
      <c r="G50" s="34"/>
      <c r="H50" s="35">
        <f t="shared" si="9"/>
        <v>7.1509890634003682E-3</v>
      </c>
      <c r="J50" s="161">
        <f>HLOOKUP($B$9,'SAISIE DES DONNEES SAMT'!$E$4:$AC$528,259,FALSE)</f>
        <v>158413.97</v>
      </c>
      <c r="L50" s="35">
        <f t="shared" si="10"/>
        <v>7.0396576269302156E-3</v>
      </c>
      <c r="O50" s="87">
        <f t="shared" si="11"/>
        <v>6.3829787234042534E-2</v>
      </c>
      <c r="P50" s="88">
        <f t="shared" si="12"/>
        <v>10111.529999999999</v>
      </c>
    </row>
    <row r="51" spans="3:16" ht="14.4">
      <c r="C51" s="178" t="s">
        <v>222</v>
      </c>
      <c r="D51" s="179" t="s">
        <v>223</v>
      </c>
      <c r="F51" s="34" t="str">
        <f>HLOOKUP($B$9,'SAISIE DES DONNEES SAMT'!$E$4:$AC$528,115,FALSE)</f>
        <v>.</v>
      </c>
      <c r="G51" s="34"/>
      <c r="H51" s="35" t="str">
        <f t="shared" si="9"/>
        <v/>
      </c>
      <c r="J51" s="161" t="str">
        <f>HLOOKUP($B$9,'SAISIE DES DONNEES SAMT'!$E$4:$AC$528,260,FALSE)</f>
        <v>.</v>
      </c>
      <c r="L51" s="35" t="str">
        <f t="shared" si="10"/>
        <v/>
      </c>
      <c r="O51" s="84" t="str">
        <f t="shared" si="11"/>
        <v/>
      </c>
      <c r="P51" s="92" t="str">
        <f t="shared" si="12"/>
        <v/>
      </c>
    </row>
    <row r="52" spans="3:16" ht="22.8">
      <c r="C52" s="178" t="s">
        <v>224</v>
      </c>
      <c r="D52" s="179" t="s">
        <v>225</v>
      </c>
      <c r="F52" s="34">
        <f>HLOOKUP($B$9,'SAISIE DES DONNEES SAMT'!$E$4:$AC$528,116,FALSE)</f>
        <v>207.52</v>
      </c>
      <c r="G52" s="34"/>
      <c r="H52" s="35">
        <f t="shared" si="9"/>
        <v>8.8056303077981947E-6</v>
      </c>
      <c r="J52" s="161">
        <f>HLOOKUP($B$9,'SAISIE DES DONNEES SAMT'!$E$4:$AC$528,261,FALSE)</f>
        <v>190.91840000000002</v>
      </c>
      <c r="L52" s="35">
        <f t="shared" si="10"/>
        <v>8.4841013117802292E-6</v>
      </c>
      <c r="O52" s="84">
        <f t="shared" ref="O52" si="13">IFERROR(F52/J52-1,"")</f>
        <v>8.6956521739130377E-2</v>
      </c>
      <c r="P52" s="92">
        <f t="shared" ref="P52" si="14">IFERROR(F52-J52,"")</f>
        <v>16.601599999999991</v>
      </c>
    </row>
    <row r="53" spans="3:16" ht="14.4">
      <c r="C53" s="178" t="s">
        <v>226</v>
      </c>
      <c r="D53" s="179" t="s">
        <v>227</v>
      </c>
      <c r="F53" s="34">
        <f>HLOOKUP($B$9,'SAISIE DES DONNEES SAMT'!$E$4:$AC$528,117,FALSE)</f>
        <v>13711.24</v>
      </c>
      <c r="G53" s="34"/>
      <c r="H53" s="35">
        <f t="shared" si="9"/>
        <v>5.8180469594012573E-4</v>
      </c>
      <c r="J53" s="161">
        <f>HLOOKUP($B$9,'SAISIE DES DONNEES SAMT'!$E$4:$AC$528,262,FALSE)</f>
        <v>12614.3408</v>
      </c>
      <c r="L53" s="35">
        <f t="shared" si="10"/>
        <v>5.6056066533410529E-4</v>
      </c>
      <c r="O53" s="87">
        <f t="shared" ref="O53:O62" si="15">IFERROR(F53/J53-1,"")</f>
        <v>8.6956521739130377E-2</v>
      </c>
      <c r="P53" s="88">
        <f t="shared" si="12"/>
        <v>1096.8991999999998</v>
      </c>
    </row>
    <row r="54" spans="3:16" ht="14.4">
      <c r="C54" s="178" t="s">
        <v>228</v>
      </c>
      <c r="D54" s="179" t="s">
        <v>229</v>
      </c>
      <c r="F54" s="34">
        <f>HLOOKUP($B$9,'SAISIE DES DONNEES SAMT'!$E$4:$AC$528,118,FALSE)</f>
        <v>1942819.01</v>
      </c>
      <c r="G54" s="34"/>
      <c r="H54" s="35">
        <f t="shared" si="9"/>
        <v>8.243902253769507E-2</v>
      </c>
      <c r="J54" s="161">
        <f>HLOOKUP($B$9,'SAISIE DES DONNEES SAMT'!$E$4:$AC$528,263,FALSE)</f>
        <v>1826249.8694</v>
      </c>
      <c r="L54" s="35">
        <f t="shared" si="10"/>
        <v>8.1155556052297781E-2</v>
      </c>
      <c r="O54" s="87">
        <f t="shared" si="15"/>
        <v>6.3829787234042534E-2</v>
      </c>
      <c r="P54" s="88">
        <f t="shared" si="12"/>
        <v>116569.14060000004</v>
      </c>
    </row>
    <row r="55" spans="3:16" ht="14.4">
      <c r="C55" s="178" t="s">
        <v>230</v>
      </c>
      <c r="D55" s="179" t="s">
        <v>231</v>
      </c>
      <c r="F55" s="34">
        <f>HLOOKUP($B$9,'SAISIE DES DONNEES SAMT'!$E$4:$AC$528,119,FALSE)</f>
        <v>4609.7299999999996</v>
      </c>
      <c r="G55" s="34"/>
      <c r="H55" s="35">
        <f t="shared" si="9"/>
        <v>1.9560321028704012E-4</v>
      </c>
      <c r="J55" s="161">
        <f>HLOOKUP($B$9,'SAISIE DES DONNEES SAMT'!$E$4:$AC$528,264,FALSE)</f>
        <v>4425.340799999999</v>
      </c>
      <c r="L55" s="35">
        <f t="shared" si="10"/>
        <v>1.9665490432747474E-4</v>
      </c>
      <c r="O55" s="87">
        <f t="shared" si="15"/>
        <v>4.1666666666666741E-2</v>
      </c>
      <c r="P55" s="88">
        <f t="shared" si="12"/>
        <v>184.38920000000053</v>
      </c>
    </row>
    <row r="56" spans="3:16" ht="14.4">
      <c r="C56" s="178" t="s">
        <v>232</v>
      </c>
      <c r="D56" s="179" t="s">
        <v>233</v>
      </c>
      <c r="F56" s="34">
        <f>HLOOKUP($B$9,'SAISIE DES DONNEES SAMT'!$E$4:$AC$528,120,FALSE)</f>
        <v>731039.77</v>
      </c>
      <c r="G56" s="34"/>
      <c r="H56" s="35">
        <f t="shared" si="9"/>
        <v>3.1019978579981788E-2</v>
      </c>
      <c r="J56" s="161">
        <f>HLOOKUP($B$9,'SAISIE DES DONNEES SAMT'!$E$4:$AC$528,265,FALSE)</f>
        <v>672556.58840000001</v>
      </c>
      <c r="L56" s="35">
        <f t="shared" si="10"/>
        <v>2.9887314338957766E-2</v>
      </c>
      <c r="O56" s="87">
        <f t="shared" si="15"/>
        <v>8.6956521739130377E-2</v>
      </c>
      <c r="P56" s="88">
        <f t="shared" si="12"/>
        <v>58483.181600000011</v>
      </c>
    </row>
    <row r="57" spans="3:16" ht="14.4">
      <c r="C57" s="178" t="s">
        <v>178</v>
      </c>
      <c r="D57" s="179" t="s">
        <v>179</v>
      </c>
      <c r="F57" s="160" t="str">
        <f>HLOOKUP($B$9,'SAISIE DES DONNEES SAMT'!$E$4:$AC$528,121,FALSE)</f>
        <v>.</v>
      </c>
      <c r="G57" s="34"/>
      <c r="H57" s="167" t="str">
        <f t="shared" si="9"/>
        <v/>
      </c>
      <c r="J57" s="162" t="str">
        <f>HLOOKUP($B$9,'SAISIE DES DONNEES SAMT'!$E$4:$AC$528,266,FALSE)</f>
        <v>.</v>
      </c>
      <c r="K57" s="220"/>
      <c r="L57" s="167" t="str">
        <f t="shared" si="10"/>
        <v/>
      </c>
      <c r="O57" s="84" t="str">
        <f t="shared" si="15"/>
        <v/>
      </c>
      <c r="P57" s="92" t="str">
        <f t="shared" si="12"/>
        <v/>
      </c>
    </row>
    <row r="58" spans="3:16">
      <c r="H58" s="219"/>
      <c r="P58" s="11"/>
    </row>
    <row r="59" spans="3:16" ht="14.4">
      <c r="C59" s="178" t="s">
        <v>180</v>
      </c>
      <c r="D59" s="179" t="s">
        <v>181</v>
      </c>
      <c r="F59" s="34" t="str">
        <f>HLOOKUP($B$9,'SAISIE DES DONNEES SAMT'!$E$4:$AC$528,125,FALSE)</f>
        <v>.</v>
      </c>
      <c r="H59" s="35" t="str">
        <f t="shared" ref="H59" si="16">IFERROR(F59/$F$13,"")</f>
        <v/>
      </c>
      <c r="J59" s="34" t="str">
        <f>HLOOKUP($B$9,'SAISIE DES DONNEES SAMT'!$E$4:$AC$528,270,FALSE)</f>
        <v>.</v>
      </c>
      <c r="L59" s="35" t="str">
        <f t="shared" ref="L59" si="17">IFERROR(J59/$J$13,"")</f>
        <v/>
      </c>
      <c r="O59" s="87" t="str">
        <f t="shared" si="15"/>
        <v/>
      </c>
      <c r="P59" s="88" t="str">
        <f t="shared" si="12"/>
        <v/>
      </c>
    </row>
    <row r="60" spans="3:16" ht="22.8">
      <c r="C60" s="178" t="s">
        <v>182</v>
      </c>
      <c r="D60" s="179" t="s">
        <v>183</v>
      </c>
      <c r="F60" s="34">
        <f>HLOOKUP($B$9,'SAISIE DES DONNEES SAMT'!$E$4:$AC$528,126,FALSE)</f>
        <v>176318.46</v>
      </c>
      <c r="H60" s="35">
        <f t="shared" ref="H60:H74" si="18">IFERROR(F60/$F$13,"")</f>
        <v>7.4816652621448702E-3</v>
      </c>
      <c r="J60" s="34">
        <f>HLOOKUP($B$9,'SAISIE DES DONNEES SAMT'!$E$4:$AC$528,271,FALSE)</f>
        <v>162212.98319999999</v>
      </c>
      <c r="L60" s="35">
        <f t="shared" ref="L60:L74" si="19">IFERROR(J60/$J$13,"")</f>
        <v>7.2084795575225015E-3</v>
      </c>
      <c r="O60" s="87">
        <f t="shared" si="15"/>
        <v>8.6956521739130377E-2</v>
      </c>
      <c r="P60" s="88">
        <f t="shared" si="12"/>
        <v>14105.476800000004</v>
      </c>
    </row>
    <row r="61" spans="3:16" ht="14.4">
      <c r="C61" s="178" t="s">
        <v>184</v>
      </c>
      <c r="D61" s="179" t="s">
        <v>185</v>
      </c>
      <c r="F61" s="34">
        <f>HLOOKUP($B$9,'SAISIE DES DONNEES SAMT'!$E$4:$AC$528,127,FALSE)</f>
        <v>3527.61</v>
      </c>
      <c r="H61" s="35">
        <f t="shared" si="18"/>
        <v>1.4968595571555505E-4</v>
      </c>
      <c r="J61" s="34">
        <f>HLOOKUP($B$9,'SAISIE DES DONNEES SAMT'!$E$4:$AC$528,272,FALSE)</f>
        <v>3245.4012000000002</v>
      </c>
      <c r="L61" s="35">
        <f t="shared" si="19"/>
        <v>1.4422031914248772E-4</v>
      </c>
      <c r="O61" s="87">
        <f t="shared" si="15"/>
        <v>8.6956521739130377E-2</v>
      </c>
      <c r="P61" s="88">
        <f t="shared" si="12"/>
        <v>282.20879999999988</v>
      </c>
    </row>
    <row r="62" spans="3:16" ht="14.4">
      <c r="C62" s="178" t="s">
        <v>186</v>
      </c>
      <c r="D62" s="179" t="s">
        <v>187</v>
      </c>
      <c r="F62" s="34">
        <f>HLOOKUP($B$9,'SAISIE DES DONNEES SAMT'!$E$4:$AC$528,128,FALSE)</f>
        <v>547.41999999999996</v>
      </c>
      <c r="H62" s="35">
        <f t="shared" si="18"/>
        <v>2.3228499147527403E-5</v>
      </c>
      <c r="J62" s="34">
        <f>HLOOKUP($B$9,'SAISIE DES DONNEES SAMT'!$E$4:$AC$528,273,FALSE)</f>
        <v>520.04899999999998</v>
      </c>
      <c r="L62" s="35">
        <f t="shared" si="19"/>
        <v>2.3110126646200655E-5</v>
      </c>
      <c r="O62" s="84">
        <f t="shared" si="15"/>
        <v>5.2631578947368363E-2</v>
      </c>
      <c r="P62" s="92">
        <f t="shared" si="12"/>
        <v>27.370999999999981</v>
      </c>
    </row>
    <row r="63" spans="3:16" ht="14.4">
      <c r="C63" s="178" t="s">
        <v>188</v>
      </c>
      <c r="D63" s="179" t="s">
        <v>189</v>
      </c>
      <c r="F63" s="34">
        <f>HLOOKUP($B$9,'SAISIE DES DONNEES SAMT'!$E$4:$AC$528,129,FALSE)</f>
        <v>240.39</v>
      </c>
      <c r="H63" s="35">
        <f t="shared" si="18"/>
        <v>1.0200392587180067E-5</v>
      </c>
      <c r="J63" s="34">
        <f>HLOOKUP($B$9,'SAISIE DES DONNEES SAMT'!$E$4:$AC$528,274,FALSE)</f>
        <v>221.15879999999999</v>
      </c>
      <c r="L63" s="35">
        <f t="shared" si="19"/>
        <v>9.82793520787803E-6</v>
      </c>
      <c r="O63" s="84">
        <f t="shared" ref="O63:O73" si="20">IFERROR(F63/J63-1,"")</f>
        <v>8.6956521739130377E-2</v>
      </c>
      <c r="P63" s="92">
        <f t="shared" ref="P63:P73" si="21">IFERROR(F63-J63,"")</f>
        <v>19.231200000000001</v>
      </c>
    </row>
    <row r="64" spans="3:16" ht="22.8">
      <c r="C64" s="178" t="s">
        <v>190</v>
      </c>
      <c r="D64" s="179" t="s">
        <v>191</v>
      </c>
      <c r="F64" s="34">
        <f>HLOOKUP($B$9,'SAISIE DES DONNEES SAMT'!$E$4:$AC$528,130,FALSE)</f>
        <v>160.78</v>
      </c>
      <c r="H64" s="35">
        <f t="shared" si="18"/>
        <v>6.822326719775412E-6</v>
      </c>
      <c r="J64" s="34">
        <f>HLOOKUP($B$9,'SAISIE DES DONNEES SAMT'!$E$4:$AC$528,275,FALSE)</f>
        <v>154.34879999999998</v>
      </c>
      <c r="L64" s="35">
        <f t="shared" si="19"/>
        <v>6.8590081236366103E-6</v>
      </c>
      <c r="O64" s="84">
        <f t="shared" si="20"/>
        <v>4.1666666666666741E-2</v>
      </c>
      <c r="P64" s="92">
        <f t="shared" si="21"/>
        <v>6.4312000000000182</v>
      </c>
    </row>
    <row r="65" spans="3:21" ht="22.8">
      <c r="C65" s="178" t="s">
        <v>192</v>
      </c>
      <c r="D65" s="179" t="s">
        <v>193</v>
      </c>
      <c r="F65" s="34" t="str">
        <f>HLOOKUP($B$9,'SAISIE DES DONNEES SAMT'!$E$4:$AC$528,131,FALSE)</f>
        <v>.</v>
      </c>
      <c r="H65" s="35" t="str">
        <f t="shared" si="18"/>
        <v/>
      </c>
      <c r="J65" s="34" t="str">
        <f>HLOOKUP($B$9,'SAISIE DES DONNEES SAMT'!$E$4:$AC$528,276,FALSE)</f>
        <v>.</v>
      </c>
      <c r="L65" s="35" t="str">
        <f t="shared" si="19"/>
        <v/>
      </c>
      <c r="O65" s="84" t="str">
        <f t="shared" si="20"/>
        <v/>
      </c>
      <c r="P65" s="92" t="str">
        <f t="shared" si="21"/>
        <v/>
      </c>
    </row>
    <row r="66" spans="3:21" ht="14.4">
      <c r="C66" s="178" t="s">
        <v>194</v>
      </c>
      <c r="D66" s="179" t="s">
        <v>195</v>
      </c>
      <c r="F66" s="34">
        <f>HLOOKUP($B$9,'SAISIE DES DONNEES SAMT'!$E$4:$AC$528,132,FALSE)</f>
        <v>901978.11</v>
      </c>
      <c r="H66" s="35">
        <f t="shared" si="18"/>
        <v>3.8273350917437034E-2</v>
      </c>
      <c r="J66" s="34">
        <f>HLOOKUP($B$9,'SAISIE DES DONNEES SAMT'!$E$4:$AC$528,277,FALSE)</f>
        <v>838839.64230000007</v>
      </c>
      <c r="L66" s="35">
        <f t="shared" si="19"/>
        <v>3.727666117886326E-2</v>
      </c>
      <c r="O66" s="84">
        <f t="shared" si="20"/>
        <v>7.5268817204301008E-2</v>
      </c>
      <c r="P66" s="92">
        <f t="shared" si="21"/>
        <v>63138.467699999921</v>
      </c>
    </row>
    <row r="67" spans="3:21" ht="14.4">
      <c r="C67" s="178" t="s">
        <v>196</v>
      </c>
      <c r="D67" s="179" t="s">
        <v>197</v>
      </c>
      <c r="F67" s="34">
        <f>HLOOKUP($B$9,'SAISIE DES DONNEES SAMT'!$E$4:$AC$528,133,FALSE)</f>
        <v>414158.11</v>
      </c>
      <c r="H67" s="35">
        <f t="shared" si="18"/>
        <v>1.757383965707603E-2</v>
      </c>
      <c r="J67" s="34">
        <f>HLOOKUP($B$9,'SAISIE DES DONNEES SAMT'!$E$4:$AC$528,278,FALSE)</f>
        <v>389308.62339999998</v>
      </c>
      <c r="L67" s="35">
        <f t="shared" si="19"/>
        <v>1.7300238229920713E-2</v>
      </c>
      <c r="O67" s="84">
        <f t="shared" si="20"/>
        <v>6.3829787234042534E-2</v>
      </c>
      <c r="P67" s="92">
        <f t="shared" si="21"/>
        <v>24849.486600000004</v>
      </c>
    </row>
    <row r="68" spans="3:21" ht="14.4">
      <c r="C68" s="178" t="s">
        <v>198</v>
      </c>
      <c r="D68" s="179" t="s">
        <v>199</v>
      </c>
      <c r="F68" s="34">
        <f>HLOOKUP($B$9,'SAISIE DES DONNEES SAMT'!$E$4:$AC$528,134,FALSE)</f>
        <v>159825.98000000001</v>
      </c>
      <c r="H68" s="35">
        <f t="shared" si="18"/>
        <v>6.7818450918540286E-3</v>
      </c>
      <c r="J68" s="34">
        <f>HLOOKUP($B$9,'SAISIE DES DONNEES SAMT'!$E$4:$AC$528,279,FALSE)</f>
        <v>147039.90160000001</v>
      </c>
      <c r="L68" s="35">
        <f t="shared" si="19"/>
        <v>6.5342126376954539E-3</v>
      </c>
      <c r="O68" s="84">
        <f t="shared" si="20"/>
        <v>8.6956521739130377E-2</v>
      </c>
      <c r="P68" s="92">
        <f t="shared" si="21"/>
        <v>12786.078399999999</v>
      </c>
    </row>
    <row r="69" spans="3:21" ht="14.4">
      <c r="C69" s="178" t="s">
        <v>200</v>
      </c>
      <c r="D69" s="179" t="s">
        <v>201</v>
      </c>
      <c r="F69" s="34" t="str">
        <f>HLOOKUP($B$9,'SAISIE DES DONNEES SAMT'!$E$4:$AC$528,135,FALSE)</f>
        <v>.</v>
      </c>
      <c r="H69" s="35" t="str">
        <f t="shared" si="18"/>
        <v/>
      </c>
      <c r="J69" s="34" t="str">
        <f>HLOOKUP($B$9,'SAISIE DES DONNEES SAMT'!$E$4:$AC$528,280,FALSE)</f>
        <v>.</v>
      </c>
      <c r="L69" s="35" t="str">
        <f t="shared" si="19"/>
        <v/>
      </c>
      <c r="O69" s="84" t="str">
        <f t="shared" si="20"/>
        <v/>
      </c>
      <c r="P69" s="92" t="str">
        <f t="shared" si="21"/>
        <v/>
      </c>
    </row>
    <row r="70" spans="3:21" ht="18">
      <c r="C70" s="178" t="s">
        <v>202</v>
      </c>
      <c r="D70" s="179" t="s">
        <v>203</v>
      </c>
      <c r="F70" s="34" t="str">
        <f>HLOOKUP($B$9,'SAISIE DES DONNEES SAMT'!$E$4:$AC$528,136,FALSE)</f>
        <v>.</v>
      </c>
      <c r="H70" s="35" t="str">
        <f t="shared" si="18"/>
        <v/>
      </c>
      <c r="J70" s="34" t="str">
        <f>HLOOKUP($B$9,'SAISIE DES DONNEES SAMT'!$E$4:$AC$528,281,FALSE)</f>
        <v>.</v>
      </c>
      <c r="L70" s="35" t="str">
        <f t="shared" si="19"/>
        <v/>
      </c>
      <c r="O70" s="84" t="str">
        <f t="shared" si="20"/>
        <v/>
      </c>
      <c r="P70" s="92" t="str">
        <f t="shared" si="21"/>
        <v/>
      </c>
      <c r="U70" s="221"/>
    </row>
    <row r="71" spans="3:21" ht="18">
      <c r="C71" s="178" t="s">
        <v>204</v>
      </c>
      <c r="D71" s="179" t="s">
        <v>205</v>
      </c>
      <c r="F71" s="34">
        <f>HLOOKUP($B$9,'SAISIE DES DONNEES SAMT'!$E$4:$AC$528,137,FALSE)</f>
        <v>2513.69</v>
      </c>
      <c r="H71" s="35">
        <f t="shared" si="18"/>
        <v>1.0666261010220337E-4</v>
      </c>
      <c r="J71" s="34">
        <f>HLOOKUP($B$9,'SAISIE DES DONNEES SAMT'!$E$4:$AC$528,282,FALSE)</f>
        <v>2413.1424000000002</v>
      </c>
      <c r="L71" s="35">
        <f t="shared" si="19"/>
        <v>1.0723609982774048E-4</v>
      </c>
      <c r="O71" s="84">
        <f t="shared" si="20"/>
        <v>4.1666666666666519E-2</v>
      </c>
      <c r="P71" s="92">
        <f t="shared" si="21"/>
        <v>100.54759999999987</v>
      </c>
      <c r="U71" s="221"/>
    </row>
    <row r="72" spans="3:21" ht="22.8">
      <c r="C72" s="178" t="s">
        <v>206</v>
      </c>
      <c r="D72" s="179" t="s">
        <v>207</v>
      </c>
      <c r="F72" s="34" t="str">
        <f>HLOOKUP($B$9,'SAISIE DES DONNEES SAMT'!$E$4:$AC$528,138,FALSE)</f>
        <v>.</v>
      </c>
      <c r="H72" s="35" t="str">
        <f t="shared" si="18"/>
        <v/>
      </c>
      <c r="J72" s="34" t="str">
        <f>HLOOKUP($B$9,'SAISIE DES DONNEES SAMT'!$E$4:$AC$528,283,FALSE)</f>
        <v>.</v>
      </c>
      <c r="L72" s="35" t="str">
        <f t="shared" si="19"/>
        <v/>
      </c>
      <c r="O72" s="84" t="str">
        <f t="shared" si="20"/>
        <v/>
      </c>
      <c r="P72" s="92" t="str">
        <f t="shared" si="21"/>
        <v/>
      </c>
    </row>
    <row r="73" spans="3:21" ht="14.4">
      <c r="C73" s="178" t="s">
        <v>208</v>
      </c>
      <c r="D73" s="179" t="s">
        <v>209</v>
      </c>
      <c r="F73" s="34" t="str">
        <f>HLOOKUP($B$9,'SAISIE DES DONNEES SAMT'!$E$4:$AC$528,139,FALSE)</f>
        <v>.</v>
      </c>
      <c r="H73" s="35" t="str">
        <f t="shared" si="18"/>
        <v/>
      </c>
      <c r="J73" s="34" t="str">
        <f>HLOOKUP($B$9,'SAISIE DES DONNEES SAMT'!$E$4:$AC$528,284,FALSE)</f>
        <v>.</v>
      </c>
      <c r="L73" s="35" t="str">
        <f t="shared" si="19"/>
        <v/>
      </c>
      <c r="O73" s="84" t="str">
        <f t="shared" si="20"/>
        <v/>
      </c>
      <c r="P73" s="92" t="str">
        <f t="shared" si="21"/>
        <v/>
      </c>
    </row>
    <row r="74" spans="3:21" ht="14.4">
      <c r="C74" s="178" t="s">
        <v>210</v>
      </c>
      <c r="D74" s="179" t="s">
        <v>211</v>
      </c>
      <c r="F74" s="160">
        <f>HLOOKUP($B$9,'SAISIE DES DONNEES SAMT'!$E$4:$AC$528,140,FALSE)</f>
        <v>3275.71</v>
      </c>
      <c r="H74" s="167">
        <f t="shared" si="18"/>
        <v>1.3899716295083666E-4</v>
      </c>
      <c r="J74" s="160">
        <f>HLOOKUP($B$9,'SAISIE DES DONNEES SAMT'!$E$4:$AC$528,285,FALSE)</f>
        <v>3079.1673999999998</v>
      </c>
      <c r="K74" s="220"/>
      <c r="L74" s="167">
        <f t="shared" si="19"/>
        <v>1.3683316106530806E-4</v>
      </c>
      <c r="O74" s="93"/>
      <c r="P74" s="218"/>
    </row>
    <row r="75" spans="3:21" ht="15.6">
      <c r="C75" s="20"/>
      <c r="D75" s="66"/>
    </row>
    <row r="76" spans="3:21" ht="15.6">
      <c r="C76" s="20"/>
      <c r="D76" s="66"/>
    </row>
    <row r="77" spans="3:21" ht="15.6">
      <c r="C77" s="20"/>
      <c r="D77" s="66"/>
    </row>
    <row r="78" spans="3:21" ht="15.6">
      <c r="C78" s="20"/>
      <c r="D78" s="66"/>
    </row>
    <row r="79" spans="3:21" ht="15.6">
      <c r="C79" s="20"/>
      <c r="D79" s="66"/>
    </row>
    <row r="80" spans="3:21" ht="15.6">
      <c r="C80" s="20"/>
      <c r="D80" s="66"/>
    </row>
    <row r="81" spans="3:4" ht="15.6">
      <c r="C81" s="20"/>
      <c r="D81" s="66"/>
    </row>
    <row r="82" spans="3:4" ht="15.6">
      <c r="C82" s="20"/>
      <c r="D82" s="66"/>
    </row>
    <row r="83" spans="3:4" ht="15.6">
      <c r="C83" s="20"/>
      <c r="D83" s="66"/>
    </row>
    <row r="84" spans="3:4" ht="15.6">
      <c r="C84" s="20"/>
      <c r="D84" s="66"/>
    </row>
    <row r="85" spans="3:4" ht="15.6">
      <c r="C85" s="20"/>
      <c r="D85" s="66"/>
    </row>
    <row r="86" spans="3:4" ht="15.6">
      <c r="C86" s="20"/>
      <c r="D86" s="66"/>
    </row>
    <row r="87" spans="3:4" ht="15.6">
      <c r="C87" s="20"/>
      <c r="D87" s="66"/>
    </row>
    <row r="88" spans="3:4" ht="15.6">
      <c r="C88" s="20"/>
      <c r="D88" s="66"/>
    </row>
    <row r="89" spans="3:4" ht="15.6">
      <c r="C89" s="20"/>
      <c r="D89" s="66"/>
    </row>
    <row r="90" spans="3:4" ht="15.6">
      <c r="C90" s="20"/>
      <c r="D90" s="66"/>
    </row>
    <row r="91" spans="3:4" ht="15.6">
      <c r="C91" s="20"/>
      <c r="D91" s="66"/>
    </row>
    <row r="92" spans="3:4" ht="15.6">
      <c r="C92" s="20"/>
      <c r="D92" s="66"/>
    </row>
    <row r="93" spans="3:4" ht="15.6">
      <c r="C93" s="20"/>
      <c r="D93" s="66"/>
    </row>
    <row r="94" spans="3:4" ht="15.6">
      <c r="C94" s="20"/>
      <c r="D94" s="66"/>
    </row>
    <row r="95" spans="3:4" ht="15.6">
      <c r="C95" s="20"/>
      <c r="D95" s="66"/>
    </row>
    <row r="96" spans="3:4" ht="15.6">
      <c r="C96" s="20"/>
      <c r="D96" s="66"/>
    </row>
    <row r="97" spans="2:19" ht="15.6">
      <c r="C97" s="20"/>
      <c r="D97" s="66"/>
    </row>
    <row r="98" spans="2:19" ht="15.6">
      <c r="C98" s="20"/>
      <c r="D98" s="66"/>
    </row>
    <row r="99" spans="2:19" ht="15.6">
      <c r="C99" s="20"/>
      <c r="D99" s="66"/>
    </row>
    <row r="100" spans="2:19" ht="15.6">
      <c r="C100" s="20"/>
      <c r="D100" s="66"/>
    </row>
    <row r="101" spans="2:19" ht="23.4">
      <c r="B101" s="67"/>
      <c r="C101" s="67"/>
      <c r="D101" s="67"/>
      <c r="E101" s="67"/>
      <c r="F101" s="67"/>
      <c r="G101" s="67"/>
      <c r="H101" s="67"/>
      <c r="I101" s="67"/>
      <c r="J101" s="67"/>
      <c r="K101" s="67"/>
      <c r="L101" s="67"/>
      <c r="M101" s="67"/>
      <c r="N101" s="67"/>
      <c r="O101" s="67"/>
      <c r="P101" s="68"/>
      <c r="Q101" s="67"/>
      <c r="R101" s="67"/>
      <c r="S101" s="67"/>
    </row>
    <row r="102" spans="2:19" ht="25.5" customHeight="1">
      <c r="B102" s="298" t="s">
        <v>71</v>
      </c>
      <c r="C102" s="299"/>
      <c r="D102" s="299"/>
      <c r="E102" s="299"/>
      <c r="F102" s="299"/>
      <c r="G102" s="299"/>
      <c r="H102" s="299"/>
      <c r="I102" s="299"/>
      <c r="J102" s="299"/>
      <c r="K102" s="299"/>
      <c r="L102" s="299"/>
      <c r="M102" s="299"/>
      <c r="N102" s="299"/>
      <c r="O102" s="299"/>
      <c r="P102" s="299"/>
      <c r="Q102" s="299"/>
      <c r="R102" s="299"/>
      <c r="S102" s="29"/>
    </row>
    <row r="103" spans="2:19" ht="15" customHeight="1"/>
    <row r="104" spans="2:19" ht="41.4" customHeight="1">
      <c r="F104" s="285" t="str">
        <f>"Données brutes et coûts décomposés de l'ES"
&amp;" "&amp;
"RTC "&amp;B2</f>
        <v>Données brutes et coûts décomposés de l'ES RTC 2022</v>
      </c>
      <c r="G104" s="286"/>
      <c r="H104" s="287"/>
      <c r="I104" s="16"/>
      <c r="J104" s="285" t="str">
        <f>"Données brutes et coûts décomposés de l'ES"
&amp;" "&amp;
"RTC "&amp;B2-1</f>
        <v>Données brutes et coûts décomposés de l'ES RTC 2021</v>
      </c>
      <c r="K104" s="286"/>
      <c r="L104" s="287"/>
      <c r="M104" s="16"/>
      <c r="N104" s="16"/>
      <c r="O104" s="285" t="str">
        <f>"Evolution "&amp;B2&amp;"/"&amp;B2-1</f>
        <v>Evolution 2022/2021</v>
      </c>
      <c r="P104" s="287"/>
    </row>
    <row r="105" spans="2:19" ht="15" customHeight="1"/>
    <row r="106" spans="2:19" ht="14.4">
      <c r="B106" s="309" t="s">
        <v>72</v>
      </c>
      <c r="C106" s="32" t="s">
        <v>73</v>
      </c>
      <c r="D106" s="69"/>
      <c r="F106" s="70">
        <f>HLOOKUP($B$9,'SAISIE DES DONNEES SAMT'!$E$4:$AC$528,81,FALSE)</f>
        <v>8.44</v>
      </c>
      <c r="G106" s="71"/>
      <c r="H106" s="72"/>
      <c r="I106" s="72"/>
      <c r="J106" s="70">
        <f>HLOOKUP($B$9,'SAISIE DES DONNEES SAMT'!$E$4:$AC$528,226,FALSE)</f>
        <v>7.8491999999999997</v>
      </c>
      <c r="K106" s="71"/>
      <c r="L106" s="72"/>
      <c r="M106" s="26"/>
      <c r="N106" s="26"/>
      <c r="O106" s="87">
        <f t="shared" ref="O106:O108" si="22">IFERROR(F106/J106-1,"")</f>
        <v>7.5268817204301008E-2</v>
      </c>
      <c r="P106" s="94">
        <f t="shared" ref="P106:P108" si="23">IFERROR(F106-J106,"")</f>
        <v>0.59079999999999977</v>
      </c>
      <c r="Q106" s="26"/>
      <c r="S106" s="26"/>
    </row>
    <row r="107" spans="2:19" ht="14.4">
      <c r="B107" s="310"/>
      <c r="C107" s="45" t="s">
        <v>74</v>
      </c>
      <c r="D107" s="46"/>
      <c r="F107" s="70">
        <f>HLOOKUP($B$9,'SAISIE DES DONNEES SAMT'!$E$4:$AC$528,82,FALSE)</f>
        <v>101909.9372</v>
      </c>
      <c r="G107" s="26"/>
      <c r="H107" s="26"/>
      <c r="I107" s="26"/>
      <c r="J107" s="70">
        <f>HLOOKUP($B$9,'SAISIE DES DONNEES SAMT'!$E$4:$AC$528,227,FALSE)</f>
        <v>95795.34096799999</v>
      </c>
      <c r="K107" s="26"/>
      <c r="L107" s="26"/>
      <c r="M107" s="73"/>
      <c r="N107" s="73"/>
      <c r="O107" s="89">
        <f t="shared" si="22"/>
        <v>6.3829787234042756E-2</v>
      </c>
      <c r="P107" s="90">
        <f t="shared" si="23"/>
        <v>6114.5962320000108</v>
      </c>
      <c r="Q107" s="73"/>
      <c r="S107" s="73"/>
    </row>
    <row r="108" spans="2:19" ht="14.4">
      <c r="B108" s="311"/>
      <c r="C108" s="74" t="s">
        <v>75</v>
      </c>
      <c r="D108" s="75"/>
      <c r="F108" s="150">
        <f>F13/F106</f>
        <v>2792267.7725118487</v>
      </c>
      <c r="G108" s="76"/>
      <c r="H108" s="76"/>
      <c r="I108" s="76"/>
      <c r="J108" s="150">
        <f>J13/J106</f>
        <v>2866926.4073841916</v>
      </c>
      <c r="K108" s="76"/>
      <c r="L108" s="76"/>
      <c r="M108" s="73"/>
      <c r="N108" s="73"/>
      <c r="O108" s="91">
        <f t="shared" si="22"/>
        <v>-2.6041350304649824E-2</v>
      </c>
      <c r="P108" s="95">
        <f t="shared" si="23"/>
        <v>-74658.634872342926</v>
      </c>
      <c r="Q108" s="73"/>
      <c r="S108" s="73"/>
    </row>
    <row r="109" spans="2:19" ht="15" customHeight="1">
      <c r="B109" s="77"/>
      <c r="C109" s="20"/>
      <c r="D109" s="51"/>
      <c r="F109" s="25"/>
      <c r="G109" s="25"/>
      <c r="H109" s="25"/>
      <c r="I109" s="25"/>
      <c r="J109" s="25"/>
      <c r="K109" s="25"/>
      <c r="L109" s="25"/>
      <c r="M109" s="73"/>
      <c r="N109" s="73"/>
      <c r="O109" s="78"/>
      <c r="P109" s="78"/>
      <c r="Q109" s="73"/>
      <c r="S109" s="73"/>
    </row>
    <row r="110" spans="2:19" ht="14.4">
      <c r="B110" s="309" t="s">
        <v>76</v>
      </c>
      <c r="C110" s="32" t="s">
        <v>77</v>
      </c>
      <c r="D110" s="69"/>
      <c r="F110" s="70">
        <f>HLOOKUP($B$9,'SAISIE DES DONNEES SAMT'!$E$4:$AC$528,86,FALSE)</f>
        <v>3.49</v>
      </c>
      <c r="G110" s="71"/>
      <c r="H110" s="72"/>
      <c r="I110" s="72"/>
      <c r="J110" s="70">
        <f>HLOOKUP($B$9,'SAISIE DES DONNEES SAMT'!$E$4:$AC$528,231,FALSE)</f>
        <v>3.2806000000000002</v>
      </c>
      <c r="K110" s="71"/>
      <c r="L110" s="72"/>
      <c r="M110" s="26"/>
      <c r="N110" s="26"/>
      <c r="O110" s="87">
        <f t="shared" ref="O110:O112" si="24">IFERROR(F110/J110-1,"")</f>
        <v>6.3829787234042534E-2</v>
      </c>
      <c r="P110" s="94">
        <f t="shared" ref="P110:P112" si="25">IFERROR(F110-J110,"")</f>
        <v>0.20940000000000003</v>
      </c>
      <c r="Q110" s="26"/>
      <c r="S110" s="26"/>
    </row>
    <row r="111" spans="2:19" ht="14.4">
      <c r="B111" s="310"/>
      <c r="C111" s="45" t="s">
        <v>78</v>
      </c>
      <c r="D111" s="46"/>
      <c r="F111" s="70">
        <f>HLOOKUP($B$9,'SAISIE DES DONNEES SAMT'!$E$4:$AC$528,87,FALSE)</f>
        <v>48288.108899999999</v>
      </c>
      <c r="G111" s="26"/>
      <c r="H111" s="26"/>
      <c r="I111" s="26"/>
      <c r="J111" s="70">
        <f>HLOOKUP($B$9,'SAISIE DES DONNEES SAMT'!$E$4:$AC$528,232,FALSE)</f>
        <v>46839.465633</v>
      </c>
      <c r="K111" s="26"/>
      <c r="L111" s="26"/>
      <c r="M111" s="73"/>
      <c r="N111" s="73"/>
      <c r="O111" s="89">
        <f t="shared" si="24"/>
        <v>3.0927835051546282E-2</v>
      </c>
      <c r="P111" s="90">
        <f t="shared" si="25"/>
        <v>1448.6432669999995</v>
      </c>
      <c r="Q111" s="73"/>
      <c r="S111" s="73"/>
    </row>
    <row r="112" spans="2:19" ht="14.4">
      <c r="B112" s="311"/>
      <c r="C112" s="74" t="s">
        <v>79</v>
      </c>
      <c r="D112" s="75"/>
      <c r="F112" s="150">
        <f>F13/F111</f>
        <v>488.04437649037857</v>
      </c>
      <c r="G112" s="25"/>
      <c r="H112" s="25"/>
      <c r="I112" s="25"/>
      <c r="J112" s="150">
        <f>J13/J111</f>
        <v>480.4298779400637</v>
      </c>
      <c r="K112" s="25"/>
      <c r="L112" s="25"/>
      <c r="M112" s="73"/>
      <c r="N112" s="73"/>
      <c r="O112" s="91">
        <f t="shared" si="24"/>
        <v>1.584934430590268E-2</v>
      </c>
      <c r="P112" s="95">
        <f t="shared" si="25"/>
        <v>7.6144985503148632</v>
      </c>
      <c r="Q112" s="73"/>
      <c r="S112" s="73"/>
    </row>
    <row r="113" spans="2:19" ht="14.4">
      <c r="B113" s="77"/>
      <c r="C113" s="20"/>
      <c r="D113" s="51"/>
      <c r="F113" s="143"/>
      <c r="G113" s="25"/>
      <c r="H113" s="25"/>
      <c r="I113" s="25"/>
      <c r="J113" s="143"/>
      <c r="K113" s="25"/>
      <c r="L113" s="25"/>
      <c r="M113" s="73"/>
      <c r="N113" s="73"/>
      <c r="O113" s="93"/>
      <c r="P113" s="144"/>
      <c r="Q113" s="73"/>
      <c r="S113" s="73"/>
    </row>
    <row r="114" spans="2:19" ht="14.4">
      <c r="B114" s="77"/>
      <c r="C114" s="20"/>
      <c r="D114" s="51"/>
      <c r="F114" s="143"/>
      <c r="G114" s="25"/>
      <c r="H114" s="25"/>
      <c r="I114" s="25"/>
      <c r="J114" s="143"/>
      <c r="K114" s="25"/>
      <c r="L114" s="25"/>
      <c r="M114" s="73"/>
      <c r="N114" s="73"/>
      <c r="O114" s="93"/>
      <c r="P114" s="144"/>
      <c r="Q114" s="73"/>
      <c r="S114" s="73"/>
    </row>
    <row r="115" spans="2:19" ht="14.4">
      <c r="B115" s="309" t="s">
        <v>76</v>
      </c>
      <c r="C115" s="32" t="s">
        <v>297</v>
      </c>
      <c r="D115" s="69"/>
      <c r="F115" s="70">
        <f>HLOOKUP($B$9,'SAISIE DES DONNEES SAMT'!$E$4:$AC$528,91,FALSE)</f>
        <v>0</v>
      </c>
      <c r="G115" s="71"/>
      <c r="H115" s="72"/>
      <c r="I115" s="72"/>
      <c r="J115" s="70">
        <f>HLOOKUP($B$9,'SAISIE DES DONNEES SAMT'!$E$4:$AC$528,236,FALSE)</f>
        <v>0</v>
      </c>
      <c r="K115" s="71"/>
      <c r="L115" s="72"/>
      <c r="M115" s="26"/>
      <c r="N115" s="26"/>
      <c r="O115" s="87" t="str">
        <f t="shared" ref="O115:O117" si="26">IFERROR(F115/J115-1,"")</f>
        <v/>
      </c>
      <c r="P115" s="94">
        <f t="shared" ref="P115:P117" si="27">IFERROR(F115-J115,"")</f>
        <v>0</v>
      </c>
      <c r="Q115" s="73"/>
      <c r="S115" s="73"/>
    </row>
    <row r="116" spans="2:19" ht="14.4">
      <c r="B116" s="310"/>
      <c r="C116" s="45" t="s">
        <v>298</v>
      </c>
      <c r="D116" s="46"/>
      <c r="F116" s="70" t="str">
        <f>HLOOKUP($B$9,'SAISIE DES DONNEES SAMT'!$E$4:$AC$528,92,FALSE)</f>
        <v>.</v>
      </c>
      <c r="G116" s="26"/>
      <c r="H116" s="26"/>
      <c r="I116" s="26"/>
      <c r="J116" s="70" t="str">
        <f>HLOOKUP($B$9,'SAISIE DES DONNEES SAMT'!$E$4:$AC$528,237,FALSE)</f>
        <v>.</v>
      </c>
      <c r="K116" s="26"/>
      <c r="L116" s="26"/>
      <c r="M116" s="73"/>
      <c r="N116" s="73"/>
      <c r="O116" s="89" t="str">
        <f t="shared" si="26"/>
        <v/>
      </c>
      <c r="P116" s="90" t="str">
        <f t="shared" si="27"/>
        <v/>
      </c>
      <c r="Q116" s="73"/>
      <c r="S116" s="73"/>
    </row>
    <row r="117" spans="2:19" ht="14.4">
      <c r="B117" s="311"/>
      <c r="C117" s="74" t="s">
        <v>299</v>
      </c>
      <c r="D117" s="75"/>
      <c r="F117" s="150" t="e">
        <f>F18/F116</f>
        <v>#VALUE!</v>
      </c>
      <c r="G117" s="25"/>
      <c r="H117" s="25"/>
      <c r="I117" s="25"/>
      <c r="J117" s="150" t="e">
        <f>J18/J116</f>
        <v>#VALUE!</v>
      </c>
      <c r="K117" s="25"/>
      <c r="L117" s="25"/>
      <c r="M117" s="73"/>
      <c r="N117" s="73"/>
      <c r="O117" s="91" t="str">
        <f t="shared" si="26"/>
        <v/>
      </c>
      <c r="P117" s="95" t="str">
        <f t="shared" si="27"/>
        <v/>
      </c>
      <c r="Q117" s="73"/>
      <c r="S117" s="73"/>
    </row>
    <row r="118" spans="2:19" ht="14.4">
      <c r="B118" s="77"/>
      <c r="C118" s="20"/>
      <c r="D118" s="51"/>
      <c r="F118" s="143"/>
      <c r="G118" s="25"/>
      <c r="H118" s="25"/>
      <c r="I118" s="25"/>
      <c r="J118" s="143"/>
      <c r="K118" s="25"/>
      <c r="L118" s="25"/>
      <c r="M118" s="73"/>
      <c r="N118" s="73"/>
      <c r="O118" s="93"/>
      <c r="P118" s="144"/>
      <c r="Q118" s="73"/>
      <c r="S118" s="73"/>
    </row>
    <row r="119" spans="2:19" ht="14.4">
      <c r="F119" s="26"/>
      <c r="G119" s="26"/>
      <c r="H119" s="26"/>
      <c r="I119" s="26"/>
      <c r="J119" s="26"/>
      <c r="K119" s="26"/>
      <c r="L119" s="26"/>
      <c r="M119" s="73"/>
      <c r="N119" s="73"/>
      <c r="O119" s="78"/>
      <c r="P119" s="78"/>
      <c r="Q119" s="73"/>
      <c r="S119" s="73"/>
    </row>
    <row r="120" spans="2:19" ht="14.4" customHeight="1">
      <c r="B120" s="309" t="s">
        <v>80</v>
      </c>
      <c r="C120" s="32" t="s">
        <v>293</v>
      </c>
      <c r="D120" s="69"/>
      <c r="F120" s="70">
        <f>HLOOKUP($B$9,'SAISIE DES DONNEES SAMT'!$E$4:$AC$528,96,FALSE)</f>
        <v>38.479999999999997</v>
      </c>
      <c r="G120" s="71"/>
      <c r="H120" s="72"/>
      <c r="I120" s="72"/>
      <c r="J120" s="70">
        <f>HLOOKUP($B$9,'SAISIE DES DONNEES SAMT'!$E$4:$AC$528,241,FALSE)</f>
        <v>35.7864</v>
      </c>
      <c r="K120" s="71"/>
      <c r="L120" s="72"/>
      <c r="M120" s="26"/>
      <c r="N120" s="26"/>
      <c r="O120" s="87">
        <f t="shared" ref="O120:O122" si="28">IFERROR(F120/J120-1,"")</f>
        <v>7.5268817204301008E-2</v>
      </c>
      <c r="P120" s="94">
        <f t="shared" ref="P120:P122" si="29">IFERROR(F120-J120,"")</f>
        <v>2.6935999999999964</v>
      </c>
      <c r="Q120" s="26"/>
      <c r="S120" s="26"/>
    </row>
    <row r="121" spans="2:19" ht="14.4">
      <c r="B121" s="310"/>
      <c r="C121" s="45" t="s">
        <v>82</v>
      </c>
      <c r="D121" s="46"/>
      <c r="F121" s="70">
        <f>HLOOKUP($B$9,'SAISIE DES DONNEES SAMT'!$E$4:$AC$528,97,FALSE)</f>
        <v>50468.472999999998</v>
      </c>
      <c r="G121" s="26"/>
      <c r="H121" s="26"/>
      <c r="I121" s="26"/>
      <c r="J121" s="70">
        <f>HLOOKUP($B$9,'SAISIE DES DONNEES SAMT'!$E$4:$AC$528,242,FALSE)</f>
        <v>48449.734079999995</v>
      </c>
      <c r="K121" s="26"/>
      <c r="L121" s="26"/>
      <c r="M121" s="73"/>
      <c r="N121" s="73"/>
      <c r="O121" s="89">
        <f t="shared" si="28"/>
        <v>4.1666666666666741E-2</v>
      </c>
      <c r="P121" s="90">
        <f t="shared" si="29"/>
        <v>2018.7389200000034</v>
      </c>
      <c r="Q121" s="73"/>
      <c r="S121" s="73"/>
    </row>
    <row r="122" spans="2:19" ht="14.4">
      <c r="B122" s="311"/>
      <c r="C122" s="74" t="s">
        <v>294</v>
      </c>
      <c r="D122" s="75"/>
      <c r="F122" s="150">
        <f>F13/F120</f>
        <v>612441.2681912682</v>
      </c>
      <c r="G122" s="76"/>
      <c r="H122" s="76"/>
      <c r="I122" s="76"/>
      <c r="J122" s="150">
        <f>J13/J120</f>
        <v>628816.49891690689</v>
      </c>
      <c r="K122" s="76"/>
      <c r="L122" s="76"/>
      <c r="M122" s="73"/>
      <c r="N122" s="73"/>
      <c r="O122" s="91">
        <f t="shared" si="28"/>
        <v>-2.6041350304649935E-2</v>
      </c>
      <c r="P122" s="95">
        <f t="shared" si="29"/>
        <v>-16375.230725638685</v>
      </c>
      <c r="Q122" s="73"/>
      <c r="S122" s="73"/>
    </row>
    <row r="123" spans="2:19" ht="7.2" customHeight="1">
      <c r="B123" s="77"/>
      <c r="C123" s="20"/>
      <c r="D123" s="51"/>
      <c r="F123" s="80"/>
      <c r="G123" s="80"/>
      <c r="H123" s="80"/>
      <c r="I123" s="80"/>
      <c r="J123" s="80"/>
      <c r="K123" s="80"/>
      <c r="L123" s="80"/>
    </row>
    <row r="124" spans="2:19" ht="14.4" customHeight="1">
      <c r="B124" s="309" t="s">
        <v>80</v>
      </c>
      <c r="C124" s="32" t="s">
        <v>295</v>
      </c>
      <c r="D124" s="69"/>
      <c r="F124" s="70">
        <f>HLOOKUP($B$9,'SAISIE DES DONNEES SAMT'!$E$4:$AC$528,101,FALSE)</f>
        <v>17.23</v>
      </c>
      <c r="G124" s="71"/>
      <c r="H124" s="72"/>
      <c r="I124" s="72"/>
      <c r="J124" s="70">
        <f>HLOOKUP($B$9,'SAISIE DES DONNEES SAMT'!$E$4:$AC$528,246,FALSE)</f>
        <v>16.540800000000001</v>
      </c>
      <c r="K124" s="71"/>
      <c r="L124" s="72"/>
      <c r="M124" s="26"/>
      <c r="N124" s="26"/>
      <c r="O124" s="87">
        <f t="shared" ref="O124:O126" si="30">IFERROR(F124/J124-1,"")</f>
        <v>4.1666666666666741E-2</v>
      </c>
      <c r="P124" s="94">
        <f t="shared" ref="P124:P126" si="31">IFERROR(F124-J124,"")</f>
        <v>0.68919999999999959</v>
      </c>
      <c r="Q124" s="26"/>
      <c r="S124" s="26"/>
    </row>
    <row r="125" spans="2:19" ht="14.4">
      <c r="B125" s="310"/>
      <c r="C125" s="45" t="s">
        <v>82</v>
      </c>
      <c r="D125" s="46"/>
      <c r="F125" s="70">
        <f>HLOOKUP($B$9,'SAISIE DES DONNEES SAMT'!$E$4:$AC$528,102,FALSE)</f>
        <v>42428.309300000001</v>
      </c>
      <c r="G125" s="26"/>
      <c r="H125" s="26"/>
      <c r="I125" s="26"/>
      <c r="J125" s="70">
        <f>HLOOKUP($B$9,'SAISIE DES DONNEES SAMT'!$E$4:$AC$528,247,FALSE)</f>
        <v>40306.893834999995</v>
      </c>
      <c r="K125" s="26"/>
      <c r="L125" s="26"/>
      <c r="M125" s="73"/>
      <c r="N125" s="73"/>
      <c r="O125" s="89">
        <f t="shared" si="30"/>
        <v>5.2631578947368585E-2</v>
      </c>
      <c r="P125" s="90">
        <f t="shared" si="31"/>
        <v>2121.4154650000055</v>
      </c>
      <c r="Q125" s="73"/>
      <c r="S125" s="73"/>
    </row>
    <row r="126" spans="2:19" ht="14.4">
      <c r="B126" s="311"/>
      <c r="C126" s="74" t="s">
        <v>296</v>
      </c>
      <c r="D126" s="75"/>
      <c r="F126" s="150">
        <f>F17/F124</f>
        <v>0</v>
      </c>
      <c r="G126" s="76"/>
      <c r="H126" s="76"/>
      <c r="I126" s="76"/>
      <c r="J126" s="150">
        <f>J17/J124</f>
        <v>0</v>
      </c>
      <c r="K126" s="76"/>
      <c r="L126" s="76"/>
      <c r="M126" s="73"/>
      <c r="N126" s="73"/>
      <c r="O126" s="91" t="str">
        <f t="shared" si="30"/>
        <v/>
      </c>
      <c r="P126" s="95">
        <f t="shared" si="31"/>
        <v>0</v>
      </c>
      <c r="Q126" s="73"/>
      <c r="S126" s="73"/>
    </row>
    <row r="127" spans="2:19" ht="7.2" customHeight="1">
      <c r="B127" s="77"/>
      <c r="C127" s="20"/>
      <c r="D127" s="51"/>
      <c r="F127" s="80"/>
      <c r="G127" s="80"/>
      <c r="H127" s="80"/>
      <c r="I127" s="80"/>
      <c r="J127" s="80"/>
      <c r="K127" s="80"/>
      <c r="L127" s="80"/>
    </row>
    <row r="128" spans="2:19" ht="7.2" customHeight="1">
      <c r="B128" s="77"/>
      <c r="C128" s="20"/>
      <c r="D128" s="51"/>
      <c r="F128" s="80"/>
      <c r="G128" s="80"/>
      <c r="H128" s="80"/>
      <c r="I128" s="80"/>
      <c r="J128" s="80"/>
      <c r="K128" s="80"/>
      <c r="L128" s="80"/>
    </row>
    <row r="129" spans="2:19" ht="14.4" customHeight="1">
      <c r="B129" s="309" t="s">
        <v>80</v>
      </c>
      <c r="C129" s="32" t="s">
        <v>81</v>
      </c>
      <c r="D129" s="69"/>
      <c r="F129" s="70">
        <f>HLOOKUP($B$9,'SAISIE DES DONNEES SAMT'!$E$4:$AC$528,106,FALSE)</f>
        <v>55.71</v>
      </c>
      <c r="G129" s="71"/>
      <c r="H129" s="72"/>
      <c r="I129" s="72"/>
      <c r="J129" s="70">
        <f>HLOOKUP($B$9,'SAISIE DES DONNEES SAMT'!$E$4:$AC$528,251,FALSE)</f>
        <v>51.810300000000005</v>
      </c>
      <c r="K129" s="71"/>
      <c r="L129" s="72"/>
      <c r="M129" s="26"/>
      <c r="N129" s="26"/>
      <c r="O129" s="87">
        <f t="shared" ref="O129:O131" si="32">IFERROR(F129/J129-1,"")</f>
        <v>7.5268817204301008E-2</v>
      </c>
      <c r="P129" s="94">
        <f t="shared" ref="P129:P131" si="33">IFERROR(F129-J129,"")</f>
        <v>3.8996999999999957</v>
      </c>
      <c r="Q129" s="26"/>
      <c r="S129" s="26"/>
    </row>
    <row r="130" spans="2:19" ht="14.4">
      <c r="B130" s="310"/>
      <c r="C130" s="45" t="s">
        <v>82</v>
      </c>
      <c r="D130" s="46"/>
      <c r="F130" s="70">
        <f>HLOOKUP($B$9,'SAISIE DES DONNEES SAMT'!$E$4:$AC$528,107,FALSE)</f>
        <v>47981.809500000003</v>
      </c>
      <c r="G130" s="26"/>
      <c r="H130" s="26"/>
      <c r="I130" s="26"/>
      <c r="J130" s="70">
        <f>HLOOKUP($B$9,'SAISIE DES DONNEES SAMT'!$E$4:$AC$528,252,FALSE)</f>
        <v>45582.719024999999</v>
      </c>
      <c r="K130" s="26"/>
      <c r="L130" s="26"/>
      <c r="M130" s="73"/>
      <c r="N130" s="73"/>
      <c r="O130" s="89">
        <f t="shared" si="32"/>
        <v>5.2631578947368585E-2</v>
      </c>
      <c r="P130" s="90">
        <f t="shared" si="33"/>
        <v>2399.0904750000045</v>
      </c>
      <c r="Q130" s="73"/>
      <c r="S130" s="73"/>
    </row>
    <row r="131" spans="2:19" ht="14.4">
      <c r="B131" s="311"/>
      <c r="C131" s="74" t="s">
        <v>296</v>
      </c>
      <c r="D131" s="75"/>
      <c r="F131" s="150">
        <f>F22/F129</f>
        <v>28.269251480883145</v>
      </c>
      <c r="G131" s="76"/>
      <c r="H131" s="76"/>
      <c r="I131" s="76"/>
      <c r="J131" s="150">
        <f>J22/J129</f>
        <v>28.269251480883149</v>
      </c>
      <c r="K131" s="76"/>
      <c r="L131" s="76"/>
      <c r="M131" s="73"/>
      <c r="N131" s="73"/>
      <c r="O131" s="91">
        <f t="shared" si="32"/>
        <v>-1.1102230246251565E-16</v>
      </c>
      <c r="P131" s="95">
        <f t="shared" si="33"/>
        <v>-3.5527136788005009E-15</v>
      </c>
      <c r="Q131" s="73"/>
      <c r="S131" s="73"/>
    </row>
    <row r="132" spans="2:19" ht="7.2" customHeight="1">
      <c r="B132" s="77"/>
      <c r="C132" s="20"/>
      <c r="D132" s="51"/>
      <c r="F132" s="80"/>
      <c r="G132" s="80"/>
      <c r="H132" s="80"/>
      <c r="I132" s="80"/>
      <c r="J132" s="80"/>
      <c r="K132" s="80"/>
      <c r="L132" s="80"/>
    </row>
    <row r="133" spans="2:19" ht="7.2" customHeight="1">
      <c r="B133" s="77"/>
      <c r="C133" s="20"/>
      <c r="D133" s="51"/>
      <c r="F133" s="80"/>
      <c r="G133" s="80"/>
      <c r="H133" s="80"/>
      <c r="I133" s="80"/>
      <c r="J133" s="80"/>
      <c r="K133" s="80"/>
      <c r="L133" s="80"/>
    </row>
    <row r="135" spans="2:19" ht="23.4">
      <c r="B135" s="298" t="s">
        <v>83</v>
      </c>
      <c r="C135" s="299"/>
      <c r="D135" s="299"/>
      <c r="E135" s="299"/>
      <c r="F135" s="299"/>
      <c r="G135" s="299"/>
      <c r="H135" s="299"/>
      <c r="I135" s="299"/>
      <c r="J135" s="299"/>
      <c r="K135" s="299"/>
      <c r="L135" s="299"/>
      <c r="M135" s="299"/>
      <c r="N135" s="299"/>
      <c r="O135" s="299"/>
      <c r="P135" s="299"/>
      <c r="Q135" s="299"/>
      <c r="R135" s="299"/>
    </row>
    <row r="137" spans="2:19">
      <c r="B137" s="300" t="s">
        <v>302</v>
      </c>
      <c r="C137" s="301"/>
      <c r="D137" s="301"/>
      <c r="E137" s="301"/>
      <c r="F137" s="301"/>
      <c r="G137" s="301"/>
      <c r="H137" s="301"/>
      <c r="I137" s="301"/>
      <c r="J137" s="301"/>
      <c r="K137" s="301"/>
      <c r="L137" s="301"/>
      <c r="M137" s="301"/>
      <c r="N137" s="301"/>
      <c r="O137" s="301"/>
      <c r="P137" s="301"/>
      <c r="Q137" s="301"/>
      <c r="R137" s="302"/>
    </row>
    <row r="138" spans="2:19">
      <c r="B138" s="303"/>
      <c r="C138" s="304"/>
      <c r="D138" s="304"/>
      <c r="E138" s="304"/>
      <c r="F138" s="304"/>
      <c r="G138" s="304"/>
      <c r="H138" s="304"/>
      <c r="I138" s="304"/>
      <c r="J138" s="304"/>
      <c r="K138" s="304"/>
      <c r="L138" s="304"/>
      <c r="M138" s="304"/>
      <c r="N138" s="304"/>
      <c r="O138" s="304"/>
      <c r="P138" s="304"/>
      <c r="Q138" s="304"/>
      <c r="R138" s="305"/>
    </row>
    <row r="139" spans="2:19">
      <c r="B139" s="303"/>
      <c r="C139" s="304"/>
      <c r="D139" s="304"/>
      <c r="E139" s="304"/>
      <c r="F139" s="304"/>
      <c r="G139" s="304"/>
      <c r="H139" s="304"/>
      <c r="I139" s="304"/>
      <c r="J139" s="304"/>
      <c r="K139" s="304"/>
      <c r="L139" s="304"/>
      <c r="M139" s="304"/>
      <c r="N139" s="304"/>
      <c r="O139" s="304"/>
      <c r="P139" s="304"/>
      <c r="Q139" s="304"/>
      <c r="R139" s="305"/>
    </row>
    <row r="140" spans="2:19">
      <c r="B140" s="303"/>
      <c r="C140" s="304"/>
      <c r="D140" s="304"/>
      <c r="E140" s="304"/>
      <c r="F140" s="304"/>
      <c r="G140" s="304"/>
      <c r="H140" s="304"/>
      <c r="I140" s="304"/>
      <c r="J140" s="304"/>
      <c r="K140" s="304"/>
      <c r="L140" s="304"/>
      <c r="M140" s="304"/>
      <c r="N140" s="304"/>
      <c r="O140" s="304"/>
      <c r="P140" s="304"/>
      <c r="Q140" s="304"/>
      <c r="R140" s="305"/>
    </row>
    <row r="141" spans="2:19">
      <c r="B141" s="303"/>
      <c r="C141" s="304"/>
      <c r="D141" s="304"/>
      <c r="E141" s="304"/>
      <c r="F141" s="304"/>
      <c r="G141" s="304"/>
      <c r="H141" s="304"/>
      <c r="I141" s="304"/>
      <c r="J141" s="304"/>
      <c r="K141" s="304"/>
      <c r="L141" s="304"/>
      <c r="M141" s="304"/>
      <c r="N141" s="304"/>
      <c r="O141" s="304"/>
      <c r="P141" s="304"/>
      <c r="Q141" s="304"/>
      <c r="R141" s="305"/>
    </row>
    <row r="142" spans="2:19">
      <c r="B142" s="303"/>
      <c r="C142" s="304"/>
      <c r="D142" s="304"/>
      <c r="E142" s="304"/>
      <c r="F142" s="304"/>
      <c r="G142" s="304"/>
      <c r="H142" s="304"/>
      <c r="I142" s="304"/>
      <c r="J142" s="304"/>
      <c r="K142" s="304"/>
      <c r="L142" s="304"/>
      <c r="M142" s="304"/>
      <c r="N142" s="304"/>
      <c r="O142" s="304"/>
      <c r="P142" s="304"/>
      <c r="Q142" s="304"/>
      <c r="R142" s="305"/>
    </row>
    <row r="143" spans="2:19">
      <c r="B143" s="306"/>
      <c r="C143" s="307"/>
      <c r="D143" s="307"/>
      <c r="E143" s="307"/>
      <c r="F143" s="307"/>
      <c r="G143" s="307"/>
      <c r="H143" s="307"/>
      <c r="I143" s="307"/>
      <c r="J143" s="307"/>
      <c r="K143" s="307"/>
      <c r="L143" s="307"/>
      <c r="M143" s="307"/>
      <c r="N143" s="307"/>
      <c r="O143" s="307"/>
      <c r="P143" s="307"/>
      <c r="Q143" s="307"/>
      <c r="R143" s="308"/>
    </row>
    <row r="145" spans="2:18" ht="23.4">
      <c r="B145" s="298" t="s">
        <v>115</v>
      </c>
      <c r="C145" s="299"/>
      <c r="D145" s="299"/>
      <c r="E145" s="299"/>
      <c r="F145" s="299"/>
      <c r="G145" s="299"/>
      <c r="H145" s="299"/>
      <c r="I145" s="299"/>
      <c r="J145" s="299"/>
      <c r="K145" s="299"/>
      <c r="L145" s="299"/>
      <c r="M145" s="299"/>
      <c r="N145" s="299"/>
      <c r="O145" s="299"/>
      <c r="P145" s="299"/>
      <c r="Q145" s="299"/>
      <c r="R145" s="299"/>
    </row>
    <row r="146" spans="2:18">
      <c r="I146" s="107"/>
      <c r="M146" s="107"/>
    </row>
    <row r="147" spans="2:18">
      <c r="B147" s="300" t="s">
        <v>234</v>
      </c>
      <c r="C147" s="301"/>
      <c r="D147" s="301"/>
      <c r="E147" s="301"/>
      <c r="F147" s="301"/>
      <c r="G147" s="301"/>
      <c r="H147" s="301"/>
      <c r="I147" s="301"/>
      <c r="J147" s="301"/>
      <c r="K147" s="301"/>
      <c r="L147" s="301"/>
      <c r="M147" s="301"/>
      <c r="N147" s="301"/>
      <c r="O147" s="301"/>
      <c r="P147" s="301"/>
      <c r="Q147" s="301"/>
      <c r="R147" s="302"/>
    </row>
    <row r="148" spans="2:18">
      <c r="B148" s="303"/>
      <c r="C148" s="304"/>
      <c r="D148" s="304"/>
      <c r="E148" s="304"/>
      <c r="F148" s="304"/>
      <c r="G148" s="304"/>
      <c r="H148" s="304"/>
      <c r="I148" s="304"/>
      <c r="J148" s="304"/>
      <c r="K148" s="304"/>
      <c r="L148" s="304"/>
      <c r="M148" s="304"/>
      <c r="N148" s="304"/>
      <c r="O148" s="304"/>
      <c r="P148" s="304"/>
      <c r="Q148" s="304"/>
      <c r="R148" s="305"/>
    </row>
    <row r="149" spans="2:18">
      <c r="B149" s="303"/>
      <c r="C149" s="304"/>
      <c r="D149" s="304"/>
      <c r="E149" s="304"/>
      <c r="F149" s="304"/>
      <c r="G149" s="304"/>
      <c r="H149" s="304"/>
      <c r="I149" s="304"/>
      <c r="J149" s="304"/>
      <c r="K149" s="304"/>
      <c r="L149" s="304"/>
      <c r="M149" s="304"/>
      <c r="N149" s="304"/>
      <c r="O149" s="304"/>
      <c r="P149" s="304"/>
      <c r="Q149" s="304"/>
      <c r="R149" s="305"/>
    </row>
    <row r="150" spans="2:18">
      <c r="B150" s="303"/>
      <c r="C150" s="304"/>
      <c r="D150" s="304"/>
      <c r="E150" s="304"/>
      <c r="F150" s="304"/>
      <c r="G150" s="304"/>
      <c r="H150" s="304"/>
      <c r="I150" s="304"/>
      <c r="J150" s="304"/>
      <c r="K150" s="304"/>
      <c r="L150" s="304"/>
      <c r="M150" s="304"/>
      <c r="N150" s="304"/>
      <c r="O150" s="304"/>
      <c r="P150" s="304"/>
      <c r="Q150" s="304"/>
      <c r="R150" s="305"/>
    </row>
    <row r="151" spans="2:18">
      <c r="B151" s="303"/>
      <c r="C151" s="304"/>
      <c r="D151" s="304"/>
      <c r="E151" s="304"/>
      <c r="F151" s="304"/>
      <c r="G151" s="304"/>
      <c r="H151" s="304"/>
      <c r="I151" s="304"/>
      <c r="J151" s="304"/>
      <c r="K151" s="304"/>
      <c r="L151" s="304"/>
      <c r="M151" s="304"/>
      <c r="N151" s="304"/>
      <c r="O151" s="304"/>
      <c r="P151" s="304"/>
      <c r="Q151" s="304"/>
      <c r="R151" s="305"/>
    </row>
    <row r="152" spans="2:18">
      <c r="B152" s="303"/>
      <c r="C152" s="304"/>
      <c r="D152" s="304"/>
      <c r="E152" s="304"/>
      <c r="F152" s="304"/>
      <c r="G152" s="304"/>
      <c r="H152" s="304"/>
      <c r="I152" s="304"/>
      <c r="J152" s="304"/>
      <c r="K152" s="304"/>
      <c r="L152" s="304"/>
      <c r="M152" s="304"/>
      <c r="N152" s="304"/>
      <c r="O152" s="304"/>
      <c r="P152" s="304"/>
      <c r="Q152" s="304"/>
      <c r="R152" s="305"/>
    </row>
    <row r="153" spans="2:18">
      <c r="B153" s="303"/>
      <c r="C153" s="304"/>
      <c r="D153" s="304"/>
      <c r="E153" s="304"/>
      <c r="F153" s="304"/>
      <c r="G153" s="304"/>
      <c r="H153" s="304"/>
      <c r="I153" s="304"/>
      <c r="J153" s="304"/>
      <c r="K153" s="304"/>
      <c r="L153" s="304"/>
      <c r="M153" s="304"/>
      <c r="N153" s="304"/>
      <c r="O153" s="304"/>
      <c r="P153" s="304"/>
      <c r="Q153" s="304"/>
      <c r="R153" s="305"/>
    </row>
    <row r="154" spans="2:18">
      <c r="B154" s="303"/>
      <c r="C154" s="304"/>
      <c r="D154" s="304"/>
      <c r="E154" s="304"/>
      <c r="F154" s="304"/>
      <c r="G154" s="304"/>
      <c r="H154" s="304"/>
      <c r="I154" s="304"/>
      <c r="J154" s="304"/>
      <c r="K154" s="304"/>
      <c r="L154" s="304"/>
      <c r="M154" s="304"/>
      <c r="N154" s="304"/>
      <c r="O154" s="304"/>
      <c r="P154" s="304"/>
      <c r="Q154" s="304"/>
      <c r="R154" s="305"/>
    </row>
    <row r="155" spans="2:18">
      <c r="B155" s="303"/>
      <c r="C155" s="304"/>
      <c r="D155" s="304"/>
      <c r="E155" s="304"/>
      <c r="F155" s="304"/>
      <c r="G155" s="304"/>
      <c r="H155" s="304"/>
      <c r="I155" s="304"/>
      <c r="J155" s="304"/>
      <c r="K155" s="304"/>
      <c r="L155" s="304"/>
      <c r="M155" s="304"/>
      <c r="N155" s="304"/>
      <c r="O155" s="304"/>
      <c r="P155" s="304"/>
      <c r="Q155" s="304"/>
      <c r="R155" s="305"/>
    </row>
    <row r="156" spans="2:18">
      <c r="B156" s="303"/>
      <c r="C156" s="304"/>
      <c r="D156" s="304"/>
      <c r="E156" s="304"/>
      <c r="F156" s="304"/>
      <c r="G156" s="304"/>
      <c r="H156" s="304"/>
      <c r="I156" s="304"/>
      <c r="J156" s="304"/>
      <c r="K156" s="304"/>
      <c r="L156" s="304"/>
      <c r="M156" s="304"/>
      <c r="N156" s="304"/>
      <c r="O156" s="304"/>
      <c r="P156" s="304"/>
      <c r="Q156" s="304"/>
      <c r="R156" s="305"/>
    </row>
    <row r="157" spans="2:18">
      <c r="B157" s="303"/>
      <c r="C157" s="304"/>
      <c r="D157" s="304"/>
      <c r="E157" s="304"/>
      <c r="F157" s="304"/>
      <c r="G157" s="304"/>
      <c r="H157" s="304"/>
      <c r="I157" s="304"/>
      <c r="J157" s="304"/>
      <c r="K157" s="304"/>
      <c r="L157" s="304"/>
      <c r="M157" s="304"/>
      <c r="N157" s="304"/>
      <c r="O157" s="304"/>
      <c r="P157" s="304"/>
      <c r="Q157" s="304"/>
      <c r="R157" s="305"/>
    </row>
    <row r="158" spans="2:18">
      <c r="B158" s="306"/>
      <c r="C158" s="307"/>
      <c r="D158" s="307"/>
      <c r="E158" s="307"/>
      <c r="F158" s="307"/>
      <c r="G158" s="307"/>
      <c r="H158" s="307"/>
      <c r="I158" s="307"/>
      <c r="J158" s="307"/>
      <c r="K158" s="307"/>
      <c r="L158" s="307"/>
      <c r="M158" s="307"/>
      <c r="N158" s="307"/>
      <c r="O158" s="307"/>
      <c r="P158" s="307"/>
      <c r="Q158" s="307"/>
      <c r="R158" s="308"/>
    </row>
  </sheetData>
  <mergeCells count="41">
    <mergeCell ref="R11:R12"/>
    <mergeCell ref="F104:H104"/>
    <mergeCell ref="J104:L104"/>
    <mergeCell ref="O104:P104"/>
    <mergeCell ref="O46:P46"/>
    <mergeCell ref="B17:R17"/>
    <mergeCell ref="B18:R18"/>
    <mergeCell ref="O19:P19"/>
    <mergeCell ref="O15:S15"/>
    <mergeCell ref="F14:H14"/>
    <mergeCell ref="J14:L14"/>
    <mergeCell ref="O14:S14"/>
    <mergeCell ref="F16:H16"/>
    <mergeCell ref="J16:L16"/>
    <mergeCell ref="O16:S16"/>
    <mergeCell ref="F15:H15"/>
    <mergeCell ref="B145:R145"/>
    <mergeCell ref="B147:R158"/>
    <mergeCell ref="B102:R102"/>
    <mergeCell ref="B106:B108"/>
    <mergeCell ref="B110:B112"/>
    <mergeCell ref="B120:B122"/>
    <mergeCell ref="B135:R135"/>
    <mergeCell ref="B137:R143"/>
    <mergeCell ref="B124:B126"/>
    <mergeCell ref="B129:B131"/>
    <mergeCell ref="B115:B117"/>
    <mergeCell ref="J15:L15"/>
    <mergeCell ref="B11:D11"/>
    <mergeCell ref="F11:H11"/>
    <mergeCell ref="J11:L11"/>
    <mergeCell ref="C13:D13"/>
    <mergeCell ref="F13:H13"/>
    <mergeCell ref="J13:L13"/>
    <mergeCell ref="B1:S1"/>
    <mergeCell ref="B2:S2"/>
    <mergeCell ref="B4:R7"/>
    <mergeCell ref="B9:D9"/>
    <mergeCell ref="F9:H9"/>
    <mergeCell ref="J9:L9"/>
    <mergeCell ref="O9:P9"/>
  </mergeCells>
  <conditionalFormatting sqref="K106">
    <cfRule type="cellIs" dxfId="118" priority="207" operator="equal">
      <formula>0</formula>
    </cfRule>
  </conditionalFormatting>
  <conditionalFormatting sqref="K110">
    <cfRule type="cellIs" dxfId="117" priority="206" operator="equal">
      <formula>0</formula>
    </cfRule>
  </conditionalFormatting>
  <conditionalFormatting sqref="K120">
    <cfRule type="cellIs" dxfId="116" priority="205" operator="equal">
      <formula>0</formula>
    </cfRule>
  </conditionalFormatting>
  <conditionalFormatting sqref="L106">
    <cfRule type="cellIs" dxfId="115" priority="204" operator="equal">
      <formula>0</formula>
    </cfRule>
  </conditionalFormatting>
  <conditionalFormatting sqref="L110">
    <cfRule type="cellIs" dxfId="114" priority="203" operator="equal">
      <formula>0</formula>
    </cfRule>
  </conditionalFormatting>
  <conditionalFormatting sqref="J11:L11 I13">
    <cfRule type="expression" dxfId="113" priority="201">
      <formula>$B$3&lt;&gt;""</formula>
    </cfRule>
  </conditionalFormatting>
  <conditionalFormatting sqref="O106:O108 O42:P43 O53:P57 O20:P40 O59:P74">
    <cfRule type="expression" dxfId="112" priority="149" stopIfTrue="1">
      <formula>$B$3&lt;&gt;""</formula>
    </cfRule>
  </conditionalFormatting>
  <conditionalFormatting sqref="O106:O108 O42:P43 O53:P57 O20:P40 O59:P74">
    <cfRule type="cellIs" dxfId="111" priority="150" operator="lessThan">
      <formula>0</formula>
    </cfRule>
    <cfRule type="cellIs" dxfId="110" priority="151" operator="greaterThanOrEqual">
      <formula>0</formula>
    </cfRule>
  </conditionalFormatting>
  <conditionalFormatting sqref="P106:P108">
    <cfRule type="expression" dxfId="109" priority="146" stopIfTrue="1">
      <formula>$B$3&lt;&gt;""</formula>
    </cfRule>
  </conditionalFormatting>
  <conditionalFormatting sqref="P106:P108">
    <cfRule type="cellIs" dxfId="108" priority="147" operator="lessThan">
      <formula>0</formula>
    </cfRule>
    <cfRule type="cellIs" dxfId="107" priority="148" operator="greaterThanOrEqual">
      <formula>0</formula>
    </cfRule>
  </conditionalFormatting>
  <conditionalFormatting sqref="G106">
    <cfRule type="cellIs" dxfId="106" priority="215" operator="equal">
      <formula>0</formula>
    </cfRule>
  </conditionalFormatting>
  <conditionalFormatting sqref="G110">
    <cfRule type="cellIs" dxfId="105" priority="214" operator="equal">
      <formula>0</formula>
    </cfRule>
  </conditionalFormatting>
  <conditionalFormatting sqref="G120">
    <cfRule type="cellIs" dxfId="104" priority="213" operator="equal">
      <formula>0</formula>
    </cfRule>
  </conditionalFormatting>
  <conditionalFormatting sqref="H106:I106">
    <cfRule type="cellIs" dxfId="103" priority="212" operator="equal">
      <formula>0</formula>
    </cfRule>
  </conditionalFormatting>
  <conditionalFormatting sqref="H110:I110">
    <cfRule type="cellIs" dxfId="102" priority="211" operator="equal">
      <formula>0</formula>
    </cfRule>
  </conditionalFormatting>
  <conditionalFormatting sqref="H120:I120">
    <cfRule type="cellIs" dxfId="101" priority="210" operator="equal">
      <formula>0</formula>
    </cfRule>
  </conditionalFormatting>
  <conditionalFormatting sqref="F11:I11">
    <cfRule type="expression" dxfId="100" priority="208">
      <formula>$B$3&lt;&gt;""</formula>
    </cfRule>
  </conditionalFormatting>
  <conditionalFormatting sqref="L120">
    <cfRule type="cellIs" dxfId="99" priority="202" operator="equal">
      <formula>0</formula>
    </cfRule>
  </conditionalFormatting>
  <conditionalFormatting sqref="O41">
    <cfRule type="expression" dxfId="98" priority="195" stopIfTrue="1">
      <formula>$B$3&lt;&gt;""</formula>
    </cfRule>
  </conditionalFormatting>
  <conditionalFormatting sqref="O41">
    <cfRule type="cellIs" dxfId="97" priority="196" operator="lessThan">
      <formula>0</formula>
    </cfRule>
    <cfRule type="cellIs" dxfId="96" priority="197" operator="greaterThanOrEqual">
      <formula>0</formula>
    </cfRule>
  </conditionalFormatting>
  <conditionalFormatting sqref="P120:P122">
    <cfRule type="expression" dxfId="95" priority="162" stopIfTrue="1">
      <formula>$B$3&lt;&gt;""</formula>
    </cfRule>
  </conditionalFormatting>
  <conditionalFormatting sqref="P120:P122">
    <cfRule type="cellIs" dxfId="94" priority="163" operator="lessThan">
      <formula>0</formula>
    </cfRule>
    <cfRule type="cellIs" dxfId="93" priority="164" operator="greaterThanOrEqual">
      <formula>0</formula>
    </cfRule>
  </conditionalFormatting>
  <conditionalFormatting sqref="O13">
    <cfRule type="expression" dxfId="92" priority="186" stopIfTrue="1">
      <formula>$B$3&lt;&gt;""</formula>
    </cfRule>
  </conditionalFormatting>
  <conditionalFormatting sqref="O13">
    <cfRule type="cellIs" dxfId="91" priority="187" operator="lessThan">
      <formula>0</formula>
    </cfRule>
    <cfRule type="cellIs" dxfId="90" priority="188" operator="greaterThanOrEqual">
      <formula>0</formula>
    </cfRule>
  </conditionalFormatting>
  <conditionalFormatting sqref="O11">
    <cfRule type="expression" dxfId="89" priority="183" stopIfTrue="1">
      <formula>$B$3&lt;&gt;""</formula>
    </cfRule>
  </conditionalFormatting>
  <conditionalFormatting sqref="O11">
    <cfRule type="cellIs" dxfId="88" priority="184" operator="lessThan">
      <formula>0</formula>
    </cfRule>
    <cfRule type="cellIs" dxfId="87" priority="185" operator="greaterThanOrEqual">
      <formula>0</formula>
    </cfRule>
  </conditionalFormatting>
  <conditionalFormatting sqref="O120:O122">
    <cfRule type="expression" dxfId="86" priority="180" stopIfTrue="1">
      <formula>$B$3&lt;&gt;""</formula>
    </cfRule>
  </conditionalFormatting>
  <conditionalFormatting sqref="O120:O122">
    <cfRule type="cellIs" dxfId="85" priority="181" operator="lessThan">
      <formula>0</formula>
    </cfRule>
    <cfRule type="cellIs" dxfId="84" priority="182" operator="greaterThanOrEqual">
      <formula>0</formula>
    </cfRule>
  </conditionalFormatting>
  <conditionalFormatting sqref="P11">
    <cfRule type="expression" dxfId="83" priority="177" stopIfTrue="1">
      <formula>$B$3&lt;&gt;""</formula>
    </cfRule>
  </conditionalFormatting>
  <conditionalFormatting sqref="P11">
    <cfRule type="cellIs" dxfId="82" priority="178" operator="lessThan">
      <formula>0</formula>
    </cfRule>
    <cfRule type="cellIs" dxfId="81" priority="179" operator="greaterThanOrEqual">
      <formula>0</formula>
    </cfRule>
  </conditionalFormatting>
  <conditionalFormatting sqref="P13">
    <cfRule type="expression" dxfId="80" priority="174" stopIfTrue="1">
      <formula>$B$3&lt;&gt;""</formula>
    </cfRule>
  </conditionalFormatting>
  <conditionalFormatting sqref="P13">
    <cfRule type="cellIs" dxfId="79" priority="175" operator="lessThan">
      <formula>0</formula>
    </cfRule>
    <cfRule type="cellIs" dxfId="78" priority="176" operator="greaterThanOrEqual">
      <formula>0</formula>
    </cfRule>
  </conditionalFormatting>
  <conditionalFormatting sqref="P41">
    <cfRule type="expression" dxfId="77" priority="171" stopIfTrue="1">
      <formula>$B$3&lt;&gt;""</formula>
    </cfRule>
  </conditionalFormatting>
  <conditionalFormatting sqref="P41">
    <cfRule type="cellIs" dxfId="76" priority="172" operator="lessThan">
      <formula>0</formula>
    </cfRule>
    <cfRule type="cellIs" dxfId="75" priority="173" operator="greaterThanOrEqual">
      <formula>0</formula>
    </cfRule>
  </conditionalFormatting>
  <conditionalFormatting sqref="F11:L11 H20:H40">
    <cfRule type="expression" dxfId="74" priority="216">
      <formula>#REF!&lt;=0</formula>
    </cfRule>
    <cfRule type="expression" dxfId="73" priority="217">
      <formula>#REF!&gt;0</formula>
    </cfRule>
  </conditionalFormatting>
  <conditionalFormatting sqref="H41 H59:H74 L20:L40 L59:L74">
    <cfRule type="expression" dxfId="72" priority="218">
      <formula>#REF!&lt;=0</formula>
    </cfRule>
    <cfRule type="expression" dxfId="71" priority="219">
      <formula>#REF!&gt;0</formula>
    </cfRule>
  </conditionalFormatting>
  <conditionalFormatting sqref="R9">
    <cfRule type="expression" dxfId="70" priority="220">
      <formula>#REF!&lt;&gt;""</formula>
    </cfRule>
  </conditionalFormatting>
  <conditionalFormatting sqref="O44">
    <cfRule type="expression" dxfId="69" priority="159" stopIfTrue="1">
      <formula>$B$3&lt;&gt;""</formula>
    </cfRule>
  </conditionalFormatting>
  <conditionalFormatting sqref="O44">
    <cfRule type="cellIs" dxfId="68" priority="160" operator="lessThan">
      <formula>0</formula>
    </cfRule>
    <cfRule type="cellIs" dxfId="67" priority="161" operator="greaterThanOrEqual">
      <formula>0</formula>
    </cfRule>
  </conditionalFormatting>
  <conditionalFormatting sqref="P44">
    <cfRule type="expression" dxfId="66" priority="156" stopIfTrue="1">
      <formula>$B$3&lt;&gt;""</formula>
    </cfRule>
  </conditionalFormatting>
  <conditionalFormatting sqref="P44">
    <cfRule type="cellIs" dxfId="65" priority="157" operator="lessThan">
      <formula>0</formula>
    </cfRule>
    <cfRule type="cellIs" dxfId="64" priority="158" operator="greaterThanOrEqual">
      <formula>0</formula>
    </cfRule>
  </conditionalFormatting>
  <conditionalFormatting sqref="L41">
    <cfRule type="expression" dxfId="63" priority="222">
      <formula>#REF!&lt;=0</formula>
    </cfRule>
    <cfRule type="expression" dxfId="62" priority="223">
      <formula>#REF!&gt;0</formula>
    </cfRule>
  </conditionalFormatting>
  <conditionalFormatting sqref="P110:P118">
    <cfRule type="expression" dxfId="61" priority="140" stopIfTrue="1">
      <formula>$B$3&lt;&gt;""</formula>
    </cfRule>
  </conditionalFormatting>
  <conditionalFormatting sqref="P110:P118">
    <cfRule type="cellIs" dxfId="60" priority="141" operator="lessThan">
      <formula>0</formula>
    </cfRule>
    <cfRule type="cellIs" dxfId="59" priority="142" operator="greaterThanOrEqual">
      <formula>0</formula>
    </cfRule>
  </conditionalFormatting>
  <conditionalFormatting sqref="O110:O118">
    <cfRule type="expression" dxfId="58" priority="143" stopIfTrue="1">
      <formula>$B$3&lt;&gt;""</formula>
    </cfRule>
  </conditionalFormatting>
  <conditionalFormatting sqref="O110:O118">
    <cfRule type="cellIs" dxfId="57" priority="144" operator="lessThan">
      <formula>0</formula>
    </cfRule>
    <cfRule type="cellIs" dxfId="56" priority="145" operator="greaterThanOrEqual">
      <formula>0</formula>
    </cfRule>
  </conditionalFormatting>
  <conditionalFormatting sqref="F16:H16">
    <cfRule type="expression" dxfId="55" priority="101">
      <formula>$B$3&lt;&gt;""</formula>
    </cfRule>
  </conditionalFormatting>
  <conditionalFormatting sqref="F13:H13">
    <cfRule type="expression" dxfId="54" priority="104">
      <formula>$B$3&lt;&gt;""</formula>
    </cfRule>
  </conditionalFormatting>
  <conditionalFormatting sqref="F14:H14">
    <cfRule type="expression" dxfId="53" priority="103">
      <formula>$B$3&lt;&gt;""</formula>
    </cfRule>
  </conditionalFormatting>
  <conditionalFormatting sqref="F15:H15">
    <cfRule type="expression" dxfId="52" priority="102">
      <formula>$B$3&lt;&gt;""</formula>
    </cfRule>
  </conditionalFormatting>
  <conditionalFormatting sqref="F106:F108">
    <cfRule type="cellIs" dxfId="51" priority="100" operator="equal">
      <formula>0</formula>
    </cfRule>
  </conditionalFormatting>
  <conditionalFormatting sqref="B17">
    <cfRule type="expression" dxfId="50" priority="89">
      <formula>$B$3&lt;&gt;""</formula>
    </cfRule>
  </conditionalFormatting>
  <conditionalFormatting sqref="F110:F112">
    <cfRule type="cellIs" dxfId="49" priority="70" operator="equal">
      <formula>0</formula>
    </cfRule>
  </conditionalFormatting>
  <conditionalFormatting sqref="F120:F122">
    <cfRule type="cellIs" dxfId="48" priority="69" operator="equal">
      <formula>0</formula>
    </cfRule>
  </conditionalFormatting>
  <conditionalFormatting sqref="J16:L16">
    <cfRule type="expression" dxfId="47" priority="65">
      <formula>$B$3&lt;&gt;""</formula>
    </cfRule>
  </conditionalFormatting>
  <conditionalFormatting sqref="J13:L13">
    <cfRule type="expression" dxfId="46" priority="68">
      <formula>$B$3&lt;&gt;""</formula>
    </cfRule>
  </conditionalFormatting>
  <conditionalFormatting sqref="J14:L14">
    <cfRule type="expression" dxfId="45" priority="67">
      <formula>$B$3&lt;&gt;""</formula>
    </cfRule>
  </conditionalFormatting>
  <conditionalFormatting sqref="J15:L15">
    <cfRule type="expression" dxfId="44" priority="66">
      <formula>$B$3&lt;&gt;""</formula>
    </cfRule>
  </conditionalFormatting>
  <conditionalFormatting sqref="J106:J108">
    <cfRule type="cellIs" dxfId="43" priority="64" operator="equal">
      <formula>0</formula>
    </cfRule>
  </conditionalFormatting>
  <conditionalFormatting sqref="J110:J112">
    <cfRule type="cellIs" dxfId="42" priority="63" operator="equal">
      <formula>0</formula>
    </cfRule>
  </conditionalFormatting>
  <conditionalFormatting sqref="J120:J122">
    <cfRule type="cellIs" dxfId="41" priority="62" operator="equal">
      <formula>0</formula>
    </cfRule>
  </conditionalFormatting>
  <conditionalFormatting sqref="P47:P52">
    <cfRule type="expression" dxfId="40" priority="56" stopIfTrue="1">
      <formula>$B$3&lt;&gt;""</formula>
    </cfRule>
  </conditionalFormatting>
  <conditionalFormatting sqref="P47:P52">
    <cfRule type="cellIs" dxfId="39" priority="57" operator="lessThan">
      <formula>0</formula>
    </cfRule>
    <cfRule type="cellIs" dxfId="38" priority="58" operator="greaterThanOrEqual">
      <formula>0</formula>
    </cfRule>
  </conditionalFormatting>
  <conditionalFormatting sqref="O47:O52">
    <cfRule type="expression" dxfId="37" priority="53" stopIfTrue="1">
      <formula>$B$3&lt;&gt;""</formula>
    </cfRule>
  </conditionalFormatting>
  <conditionalFormatting sqref="O47:O52">
    <cfRule type="cellIs" dxfId="36" priority="54" operator="lessThan">
      <formula>0</formula>
    </cfRule>
    <cfRule type="cellIs" dxfId="35" priority="55" operator="greaterThanOrEqual">
      <formula>0</formula>
    </cfRule>
  </conditionalFormatting>
  <conditionalFormatting sqref="H47:H57">
    <cfRule type="expression" dxfId="34" priority="48">
      <formula>#REF!&lt;=0</formula>
    </cfRule>
    <cfRule type="expression" dxfId="33" priority="49">
      <formula>#REF!&gt;0</formula>
    </cfRule>
  </conditionalFormatting>
  <conditionalFormatting sqref="L47:L57">
    <cfRule type="expression" dxfId="32" priority="42">
      <formula>#REF!&lt;=0</formula>
    </cfRule>
    <cfRule type="expression" dxfId="31" priority="43">
      <formula>#REF!&gt;0</formula>
    </cfRule>
  </conditionalFormatting>
  <conditionalFormatting sqref="K124">
    <cfRule type="cellIs" dxfId="30" priority="35" operator="equal">
      <formula>0</formula>
    </cfRule>
  </conditionalFormatting>
  <conditionalFormatting sqref="G124">
    <cfRule type="cellIs" dxfId="29" priority="37" operator="equal">
      <formula>0</formula>
    </cfRule>
  </conditionalFormatting>
  <conditionalFormatting sqref="H124:I124">
    <cfRule type="cellIs" dxfId="28" priority="36" operator="equal">
      <formula>0</formula>
    </cfRule>
  </conditionalFormatting>
  <conditionalFormatting sqref="L124">
    <cfRule type="cellIs" dxfId="27" priority="34" operator="equal">
      <formula>0</formula>
    </cfRule>
  </conditionalFormatting>
  <conditionalFormatting sqref="P124:P126">
    <cfRule type="expression" dxfId="26" priority="28" stopIfTrue="1">
      <formula>$B$3&lt;&gt;""</formula>
    </cfRule>
  </conditionalFormatting>
  <conditionalFormatting sqref="P124:P126">
    <cfRule type="cellIs" dxfId="25" priority="29" operator="lessThan">
      <formula>0</formula>
    </cfRule>
    <cfRule type="cellIs" dxfId="24" priority="30" operator="greaterThanOrEqual">
      <formula>0</formula>
    </cfRule>
  </conditionalFormatting>
  <conditionalFormatting sqref="O124:O126">
    <cfRule type="expression" dxfId="23" priority="31" stopIfTrue="1">
      <formula>$B$3&lt;&gt;""</formula>
    </cfRule>
  </conditionalFormatting>
  <conditionalFormatting sqref="O124:O126">
    <cfRule type="cellIs" dxfId="22" priority="32" operator="lessThan">
      <formula>0</formula>
    </cfRule>
    <cfRule type="cellIs" dxfId="21" priority="33" operator="greaterThanOrEqual">
      <formula>0</formula>
    </cfRule>
  </conditionalFormatting>
  <conditionalFormatting sqref="F124:F126">
    <cfRule type="cellIs" dxfId="20" priority="27" operator="equal">
      <formula>0</formula>
    </cfRule>
  </conditionalFormatting>
  <conditionalFormatting sqref="J124:J126">
    <cfRule type="cellIs" dxfId="19" priority="26" operator="equal">
      <formula>0</formula>
    </cfRule>
  </conditionalFormatting>
  <conditionalFormatting sqref="K129">
    <cfRule type="cellIs" dxfId="18" priority="23" operator="equal">
      <formula>0</formula>
    </cfRule>
  </conditionalFormatting>
  <conditionalFormatting sqref="G129">
    <cfRule type="cellIs" dxfId="17" priority="25" operator="equal">
      <formula>0</formula>
    </cfRule>
  </conditionalFormatting>
  <conditionalFormatting sqref="H129:I129">
    <cfRule type="cellIs" dxfId="16" priority="24" operator="equal">
      <formula>0</formula>
    </cfRule>
  </conditionalFormatting>
  <conditionalFormatting sqref="L129">
    <cfRule type="cellIs" dxfId="15" priority="22" operator="equal">
      <formula>0</formula>
    </cfRule>
  </conditionalFormatting>
  <conditionalFormatting sqref="P129:P131">
    <cfRule type="expression" dxfId="14" priority="16" stopIfTrue="1">
      <formula>$B$3&lt;&gt;""</formula>
    </cfRule>
  </conditionalFormatting>
  <conditionalFormatting sqref="P129:P131">
    <cfRule type="cellIs" dxfId="13" priority="17" operator="lessThan">
      <formula>0</formula>
    </cfRule>
    <cfRule type="cellIs" dxfId="12" priority="18" operator="greaterThanOrEqual">
      <formula>0</formula>
    </cfRule>
  </conditionalFormatting>
  <conditionalFormatting sqref="O129:O131">
    <cfRule type="expression" dxfId="11" priority="19" stopIfTrue="1">
      <formula>$B$3&lt;&gt;""</formula>
    </cfRule>
  </conditionalFormatting>
  <conditionalFormatting sqref="O129:O131">
    <cfRule type="cellIs" dxfId="10" priority="20" operator="lessThan">
      <formula>0</formula>
    </cfRule>
    <cfRule type="cellIs" dxfId="9" priority="21" operator="greaterThanOrEqual">
      <formula>0</formula>
    </cfRule>
  </conditionalFormatting>
  <conditionalFormatting sqref="F129:F131">
    <cfRule type="cellIs" dxfId="8" priority="15" operator="equal">
      <formula>0</formula>
    </cfRule>
  </conditionalFormatting>
  <conditionalFormatting sqref="J129:J131">
    <cfRule type="cellIs" dxfId="7" priority="14" operator="equal">
      <formula>0</formula>
    </cfRule>
  </conditionalFormatting>
  <conditionalFormatting sqref="K115">
    <cfRule type="cellIs" dxfId="6" priority="11" operator="equal">
      <formula>0</formula>
    </cfRule>
  </conditionalFormatting>
  <conditionalFormatting sqref="L115">
    <cfRule type="cellIs" dxfId="5" priority="10" operator="equal">
      <formula>0</formula>
    </cfRule>
  </conditionalFormatting>
  <conditionalFormatting sqref="G115">
    <cfRule type="cellIs" dxfId="4" priority="13" operator="equal">
      <formula>0</formula>
    </cfRule>
  </conditionalFormatting>
  <conditionalFormatting sqref="H115:I115">
    <cfRule type="cellIs" dxfId="3" priority="12" operator="equal">
      <formula>0</formula>
    </cfRule>
  </conditionalFormatting>
  <conditionalFormatting sqref="F115:F117">
    <cfRule type="cellIs" dxfId="2" priority="9" operator="equal">
      <formula>0</formula>
    </cfRule>
  </conditionalFormatting>
  <conditionalFormatting sqref="J115:J117">
    <cfRule type="cellIs" dxfId="1" priority="8" operator="equal">
      <formula>0</formula>
    </cfRule>
  </conditionalFormatting>
  <conditionalFormatting sqref="R11">
    <cfRule type="expression" dxfId="0" priority="7">
      <formula>#REF!&lt;&gt;""</formula>
    </cfRule>
  </conditionalFormatting>
  <printOptions horizontalCentered="1"/>
  <pageMargins left="0.23622047244094491" right="0.23622047244094491" top="0.51181102362204722" bottom="0.36" header="0.31496062992125984" footer="0.31496062992125984"/>
  <pageSetup paperSize="9" scale="51" fitToHeight="2"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'SAISIE DES DONNEES SAMT'!$E$4:$M$4</xm:f>
          </x14:formula1>
          <xm:sqref>B9:D9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28A5A-2D1F-4421-B281-848E06178D06}">
  <dimension ref="E6:F34"/>
  <sheetViews>
    <sheetView workbookViewId="0">
      <selection activeCell="M16" sqref="M16"/>
    </sheetView>
  </sheetViews>
  <sheetFormatPr baseColWidth="10" defaultRowHeight="12.6"/>
  <sheetData>
    <row r="6" spans="5:6">
      <c r="E6" t="s">
        <v>300</v>
      </c>
      <c r="F6" t="s">
        <v>301</v>
      </c>
    </row>
    <row r="7" spans="5:6">
      <c r="E7" t="s">
        <v>212</v>
      </c>
      <c r="F7">
        <v>117676.43</v>
      </c>
    </row>
    <row r="8" spans="5:6">
      <c r="E8" t="s">
        <v>214</v>
      </c>
      <c r="F8">
        <v>894566.59</v>
      </c>
    </row>
    <row r="9" spans="5:6">
      <c r="E9" t="s">
        <v>220</v>
      </c>
      <c r="F9">
        <v>199627.36</v>
      </c>
    </row>
    <row r="10" spans="5:6">
      <c r="E10" t="s">
        <v>216</v>
      </c>
      <c r="F10">
        <v>168525.5</v>
      </c>
    </row>
    <row r="11" spans="5:6">
      <c r="E11" t="s">
        <v>222</v>
      </c>
      <c r="F11" t="s">
        <v>154</v>
      </c>
    </row>
    <row r="12" spans="5:6">
      <c r="E12" t="s">
        <v>224</v>
      </c>
      <c r="F12">
        <v>207.52</v>
      </c>
    </row>
    <row r="13" spans="5:6">
      <c r="E13" t="s">
        <v>226</v>
      </c>
      <c r="F13">
        <v>13711.24</v>
      </c>
    </row>
    <row r="14" spans="5:6">
      <c r="E14" t="s">
        <v>228</v>
      </c>
      <c r="F14">
        <v>1942819.01</v>
      </c>
    </row>
    <row r="15" spans="5:6">
      <c r="E15" t="s">
        <v>230</v>
      </c>
      <c r="F15">
        <v>4609.7299999999996</v>
      </c>
    </row>
    <row r="16" spans="5:6">
      <c r="E16" t="s">
        <v>232</v>
      </c>
      <c r="F16">
        <v>731039.77</v>
      </c>
    </row>
    <row r="17" spans="5:6">
      <c r="E17" t="s">
        <v>178</v>
      </c>
      <c r="F17" t="s">
        <v>154</v>
      </c>
    </row>
    <row r="19" spans="5:6">
      <c r="E19" t="s">
        <v>180</v>
      </c>
      <c r="F19" t="s">
        <v>154</v>
      </c>
    </row>
    <row r="20" spans="5:6">
      <c r="E20" t="s">
        <v>182</v>
      </c>
      <c r="F20">
        <v>176318.46</v>
      </c>
    </row>
    <row r="21" spans="5:6">
      <c r="E21" t="s">
        <v>184</v>
      </c>
      <c r="F21">
        <v>3527.61</v>
      </c>
    </row>
    <row r="22" spans="5:6">
      <c r="E22" t="s">
        <v>186</v>
      </c>
      <c r="F22">
        <v>547.41999999999996</v>
      </c>
    </row>
    <row r="23" spans="5:6">
      <c r="E23" t="s">
        <v>188</v>
      </c>
      <c r="F23">
        <v>240.39</v>
      </c>
    </row>
    <row r="24" spans="5:6">
      <c r="E24" t="s">
        <v>190</v>
      </c>
      <c r="F24">
        <v>160.78</v>
      </c>
    </row>
    <row r="25" spans="5:6">
      <c r="E25" t="s">
        <v>192</v>
      </c>
      <c r="F25" t="s">
        <v>154</v>
      </c>
    </row>
    <row r="26" spans="5:6">
      <c r="E26" t="s">
        <v>194</v>
      </c>
      <c r="F26">
        <v>901978.11</v>
      </c>
    </row>
    <row r="27" spans="5:6">
      <c r="E27" t="s">
        <v>196</v>
      </c>
      <c r="F27">
        <v>414158.11</v>
      </c>
    </row>
    <row r="28" spans="5:6">
      <c r="E28" t="s">
        <v>198</v>
      </c>
      <c r="F28">
        <v>159825.98000000001</v>
      </c>
    </row>
    <row r="29" spans="5:6">
      <c r="E29" t="s">
        <v>200</v>
      </c>
      <c r="F29" t="s">
        <v>154</v>
      </c>
    </row>
    <row r="30" spans="5:6">
      <c r="E30" t="s">
        <v>202</v>
      </c>
      <c r="F30" t="s">
        <v>154</v>
      </c>
    </row>
    <row r="31" spans="5:6">
      <c r="E31" t="s">
        <v>204</v>
      </c>
      <c r="F31">
        <v>2513.69</v>
      </c>
    </row>
    <row r="32" spans="5:6">
      <c r="E32" t="s">
        <v>206</v>
      </c>
      <c r="F32" t="s">
        <v>154</v>
      </c>
    </row>
    <row r="33" spans="5:6">
      <c r="E33" t="s">
        <v>208</v>
      </c>
      <c r="F33" t="s">
        <v>154</v>
      </c>
    </row>
    <row r="34" spans="5:6">
      <c r="E34" t="s">
        <v>210</v>
      </c>
      <c r="F34">
        <v>3275.71</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5</vt:i4>
      </vt:variant>
      <vt:variant>
        <vt:lpstr>Plages nommées</vt:lpstr>
      </vt:variant>
      <vt:variant>
        <vt:i4>4</vt:i4>
      </vt:variant>
    </vt:vector>
  </HeadingPairs>
  <TitlesOfParts>
    <vt:vector size="9" baseType="lpstr">
      <vt:lpstr>Fiche de contenu détaillée</vt:lpstr>
      <vt:lpstr>SAISIE DES DONNEES SAMT</vt:lpstr>
      <vt:lpstr>SAISIE DES DONNEES SAMT (2)</vt:lpstr>
      <vt:lpstr>Maquette SAMT</vt:lpstr>
      <vt:lpstr>Feuil1</vt:lpstr>
      <vt:lpstr>'Fiche de contenu détaillée'!Zone_d_impression</vt:lpstr>
      <vt:lpstr>'Maquette SAMT'!Zone_d_impression</vt:lpstr>
      <vt:lpstr>'SAISIE DES DONNEES SAMT'!Zone_d_impression</vt:lpstr>
      <vt:lpstr>'SAISIE DES DONNEES SAMT (2)'!Zone_d_impression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Nathalie L'Hostis</dc:creator>
  <cp:lastModifiedBy>Olivier SERRE</cp:lastModifiedBy>
  <cp:lastPrinted>2024-07-02T13:04:26Z</cp:lastPrinted>
  <dcterms:created xsi:type="dcterms:W3CDTF">2021-01-08T10:31:51Z</dcterms:created>
  <dcterms:modified xsi:type="dcterms:W3CDTF">2024-08-09T08:47:54Z</dcterms:modified>
</cp:coreProperties>
</file>